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8" yWindow="-108" windowWidth="23256" windowHeight="12456" tabRatio="725" firstSheet="7" activeTab="12"/>
  </bookViews>
  <sheets>
    <sheet name="Нето-во-бруто-2018" sheetId="2" r:id="rId1"/>
    <sheet name="Нето-во-бруто-2019" sheetId="5" r:id="rId2"/>
    <sheet name="Нето-во-бруто-2020" sheetId="6" r:id="rId3"/>
    <sheet name="Бруто-во-нето-2020" sheetId="7" r:id="rId4"/>
    <sheet name="Нето-во-бруто-2021" sheetId="8" r:id="rId5"/>
    <sheet name="Бруто-во-нето-2021" sheetId="9" r:id="rId6"/>
    <sheet name="Нето-во-бруто-2022" sheetId="10" r:id="rId7"/>
    <sheet name="Бруто-во-нето-2022" sheetId="11" r:id="rId8"/>
    <sheet name="Нето-во-бруто-2023" sheetId="12" r:id="rId9"/>
    <sheet name="Бруто-во-нето-2023" sheetId="13" r:id="rId10"/>
    <sheet name="Нето-во-бруто-2024" sheetId="14" r:id="rId11"/>
    <sheet name="Бруто-во-нето-2024" sheetId="15" r:id="rId12"/>
    <sheet name="Бруто-во-нето-2025" sheetId="16" r:id="rId13"/>
    <sheet name="Нето-во-бруто-2025" sheetId="17" r:id="rId1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7" l="1"/>
  <c r="I41" i="17"/>
  <c r="I32" i="17"/>
  <c r="I39" i="17"/>
  <c r="I38" i="17"/>
  <c r="I37" i="17"/>
  <c r="I36" i="17"/>
  <c r="I35" i="17"/>
  <c r="I34" i="17"/>
  <c r="I33" i="17"/>
  <c r="I30" i="17"/>
  <c r="G8" i="17" l="1"/>
  <c r="G1" i="17"/>
  <c r="G3" i="17" s="1"/>
  <c r="G5" i="17" s="1"/>
  <c r="H23" i="17"/>
  <c r="H24" i="17" s="1"/>
  <c r="H20" i="17"/>
  <c r="H27" i="17" s="1"/>
  <c r="H26" i="17" s="1"/>
  <c r="G14" i="17"/>
  <c r="G13" i="17"/>
  <c r="H9" i="17"/>
  <c r="C9" i="17"/>
  <c r="C10" i="17" s="1"/>
  <c r="G7" i="17" l="1"/>
  <c r="G9" i="17"/>
  <c r="G14" i="16"/>
  <c r="G13" i="16"/>
  <c r="H9" i="16"/>
  <c r="G9" i="16"/>
  <c r="G7" i="16"/>
  <c r="G3" i="16"/>
  <c r="G5" i="16" s="1"/>
  <c r="C1" i="16"/>
  <c r="C9" i="16" s="1"/>
  <c r="C1" i="15"/>
  <c r="C2" i="17" l="1"/>
  <c r="C3" i="17" s="1"/>
  <c r="C4" i="17" s="1"/>
  <c r="C11" i="17" s="1"/>
  <c r="C6" i="16"/>
  <c r="C7" i="16"/>
  <c r="C8" i="16"/>
  <c r="C9" i="14"/>
  <c r="C10" i="14"/>
  <c r="H23" i="14"/>
  <c r="H24" i="14"/>
  <c r="H20" i="14"/>
  <c r="H27" i="14"/>
  <c r="C1" i="14"/>
  <c r="C2" i="14" s="1"/>
  <c r="C3" i="14" s="1"/>
  <c r="G3" i="15"/>
  <c r="G7" i="15"/>
  <c r="C6" i="15"/>
  <c r="C10" i="15" s="1"/>
  <c r="C11" i="15" s="1"/>
  <c r="C12" i="15" s="1"/>
  <c r="C7" i="15"/>
  <c r="C8" i="15"/>
  <c r="C9" i="15"/>
  <c r="G9" i="15"/>
  <c r="G14" i="15"/>
  <c r="G13" i="15"/>
  <c r="H9" i="15"/>
  <c r="I32" i="14"/>
  <c r="H26" i="14"/>
  <c r="G14" i="14"/>
  <c r="G13" i="14"/>
  <c r="H9" i="14"/>
  <c r="G7" i="14"/>
  <c r="G3" i="14"/>
  <c r="G5" i="14"/>
  <c r="G9" i="14"/>
  <c r="G5" i="15"/>
  <c r="G14" i="13"/>
  <c r="G13" i="13"/>
  <c r="H9" i="13"/>
  <c r="G9" i="13"/>
  <c r="G7" i="13"/>
  <c r="G3" i="13"/>
  <c r="G5" i="13"/>
  <c r="I30" i="12"/>
  <c r="H21" i="12"/>
  <c r="H22" i="12"/>
  <c r="H18" i="12"/>
  <c r="H25" i="12"/>
  <c r="H24" i="12"/>
  <c r="G14" i="12"/>
  <c r="G13" i="12"/>
  <c r="H9" i="12"/>
  <c r="C9" i="12"/>
  <c r="C10" i="12"/>
  <c r="G7" i="12"/>
  <c r="G3" i="12"/>
  <c r="G5" i="12"/>
  <c r="C1" i="12"/>
  <c r="G9" i="12"/>
  <c r="C6" i="13"/>
  <c r="C7" i="13"/>
  <c r="C8" i="13"/>
  <c r="C9" i="13"/>
  <c r="I30" i="10"/>
  <c r="G14" i="11"/>
  <c r="G13" i="11"/>
  <c r="H9" i="11"/>
  <c r="G9" i="11"/>
  <c r="G7" i="11"/>
  <c r="G3" i="11"/>
  <c r="C8" i="11"/>
  <c r="H21" i="10"/>
  <c r="H22" i="10"/>
  <c r="H18" i="10"/>
  <c r="H25" i="10"/>
  <c r="G14" i="10"/>
  <c r="G13" i="10"/>
  <c r="H9" i="10"/>
  <c r="C9" i="10"/>
  <c r="C10" i="10"/>
  <c r="G7" i="10"/>
  <c r="G3" i="10"/>
  <c r="G5" i="10"/>
  <c r="H21" i="8"/>
  <c r="H18" i="8"/>
  <c r="C2" i="12"/>
  <c r="C3" i="12"/>
  <c r="C4" i="12"/>
  <c r="C11" i="12"/>
  <c r="C10" i="13"/>
  <c r="C11" i="13"/>
  <c r="C12" i="13"/>
  <c r="C16" i="13"/>
  <c r="H24" i="10"/>
  <c r="C1" i="10"/>
  <c r="G5" i="11"/>
  <c r="C6" i="11"/>
  <c r="C7" i="11"/>
  <c r="C9" i="11"/>
  <c r="G9" i="10"/>
  <c r="G14" i="9"/>
  <c r="G13" i="9"/>
  <c r="H9" i="9"/>
  <c r="G9" i="9"/>
  <c r="G7" i="9"/>
  <c r="G3" i="9"/>
  <c r="C8" i="9"/>
  <c r="G14" i="8"/>
  <c r="G13" i="8"/>
  <c r="C9" i="8"/>
  <c r="C10" i="8"/>
  <c r="G7" i="8"/>
  <c r="G3" i="8"/>
  <c r="C17" i="13"/>
  <c r="C18" i="13"/>
  <c r="C13" i="13"/>
  <c r="C13" i="12"/>
  <c r="C12" i="12"/>
  <c r="C15" i="12"/>
  <c r="C14" i="12"/>
  <c r="C10" i="11"/>
  <c r="C11" i="11"/>
  <c r="C12" i="11"/>
  <c r="C16" i="11"/>
  <c r="C2" i="10"/>
  <c r="C3" i="10"/>
  <c r="C4" i="10"/>
  <c r="C11" i="10"/>
  <c r="C9" i="9"/>
  <c r="C6" i="9"/>
  <c r="C7" i="9"/>
  <c r="G5" i="9"/>
  <c r="G14" i="7"/>
  <c r="G13" i="7"/>
  <c r="H9" i="7"/>
  <c r="G9" i="7"/>
  <c r="G7" i="7"/>
  <c r="G3" i="7"/>
  <c r="G14" i="6"/>
  <c r="G13" i="6"/>
  <c r="H9" i="6"/>
  <c r="G9" i="6"/>
  <c r="C2" i="6"/>
  <c r="G7" i="6"/>
  <c r="G3" i="6"/>
  <c r="G5" i="6"/>
  <c r="G14" i="5"/>
  <c r="G13" i="5"/>
  <c r="H9" i="5"/>
  <c r="G9" i="5"/>
  <c r="C2" i="5"/>
  <c r="G7" i="5"/>
  <c r="G3" i="5"/>
  <c r="G5" i="5"/>
  <c r="G14" i="2"/>
  <c r="G13" i="2"/>
  <c r="H9" i="2"/>
  <c r="C16" i="12"/>
  <c r="C18" i="12"/>
  <c r="C19" i="12"/>
  <c r="C20" i="12"/>
  <c r="C13" i="11"/>
  <c r="C17" i="11"/>
  <c r="C18" i="11"/>
  <c r="C15" i="10"/>
  <c r="C14" i="10"/>
  <c r="C13" i="10"/>
  <c r="C12" i="10"/>
  <c r="C10" i="9"/>
  <c r="C11" i="9"/>
  <c r="C12" i="9"/>
  <c r="C16" i="9"/>
  <c r="C17" i="9"/>
  <c r="C18" i="9"/>
  <c r="G5" i="7"/>
  <c r="C9" i="7"/>
  <c r="C8" i="7"/>
  <c r="C7" i="7"/>
  <c r="C6" i="7"/>
  <c r="C3" i="5"/>
  <c r="C3" i="6"/>
  <c r="C16" i="10"/>
  <c r="C18" i="10"/>
  <c r="C19" i="10"/>
  <c r="C20" i="10"/>
  <c r="C13" i="9"/>
  <c r="C10" i="7"/>
  <c r="C11" i="7"/>
  <c r="C12" i="7"/>
  <c r="C9" i="6"/>
  <c r="C10" i="6"/>
  <c r="C9" i="5"/>
  <c r="C10" i="5"/>
  <c r="C16" i="7"/>
  <c r="C13" i="7"/>
  <c r="C4" i="6"/>
  <c r="C11" i="6"/>
  <c r="C4" i="5"/>
  <c r="C11" i="5"/>
  <c r="C9" i="2"/>
  <c r="C10" i="2"/>
  <c r="G7" i="2"/>
  <c r="G9" i="2"/>
  <c r="G3" i="2"/>
  <c r="G5" i="2"/>
  <c r="C2" i="2"/>
  <c r="C3" i="2"/>
  <c r="C4" i="2"/>
  <c r="C11" i="2"/>
  <c r="C17" i="7"/>
  <c r="C18" i="7"/>
  <c r="C15" i="6"/>
  <c r="C12" i="6"/>
  <c r="C14" i="6"/>
  <c r="C13" i="6"/>
  <c r="C15" i="5"/>
  <c r="C14" i="5"/>
  <c r="C12" i="5"/>
  <c r="C13" i="5"/>
  <c r="C16" i="6"/>
  <c r="C18" i="6"/>
  <c r="C19" i="6"/>
  <c r="C20" i="6"/>
  <c r="C16" i="5"/>
  <c r="C18" i="5"/>
  <c r="C19" i="5"/>
  <c r="C20" i="5"/>
  <c r="C13" i="2"/>
  <c r="C14" i="2"/>
  <c r="C12" i="2"/>
  <c r="C15" i="2"/>
  <c r="C16" i="2"/>
  <c r="C18" i="2"/>
  <c r="C19" i="2"/>
  <c r="C20" i="2"/>
  <c r="G5" i="8"/>
  <c r="H9" i="8"/>
  <c r="H22" i="8"/>
  <c r="H25" i="8"/>
  <c r="H24" i="8"/>
  <c r="G9" i="8"/>
  <c r="C1" i="8"/>
  <c r="C2" i="8"/>
  <c r="C3" i="8"/>
  <c r="C4" i="8"/>
  <c r="C11" i="8"/>
  <c r="C14" i="8"/>
  <c r="C15" i="8"/>
  <c r="C12" i="8"/>
  <c r="C13" i="8"/>
  <c r="C16" i="8"/>
  <c r="C18" i="8"/>
  <c r="C19" i="8"/>
  <c r="C20" i="8"/>
  <c r="C4" i="14" l="1"/>
  <c r="C11" i="14" s="1"/>
  <c r="C12" i="17"/>
  <c r="C15" i="17"/>
  <c r="C14" i="17"/>
  <c r="C13" i="17"/>
  <c r="C10" i="16"/>
  <c r="C11" i="16" s="1"/>
  <c r="C12" i="16" s="1"/>
  <c r="C16" i="16" s="1"/>
  <c r="C16" i="15"/>
  <c r="C14" i="14" l="1"/>
  <c r="C15" i="14"/>
  <c r="C12" i="14"/>
  <c r="C13" i="14"/>
  <c r="C16" i="17"/>
  <c r="C18" i="17" s="1"/>
  <c r="C19" i="17" s="1"/>
  <c r="C20" i="17" s="1"/>
  <c r="C17" i="16"/>
  <c r="C18" i="16" s="1"/>
  <c r="C13" i="16"/>
  <c r="C17" i="15"/>
  <c r="C18" i="15" s="1"/>
  <c r="C13" i="15"/>
  <c r="C16" i="14" l="1"/>
  <c r="C18" i="14" s="1"/>
  <c r="C19" i="14" s="1"/>
  <c r="C20" i="14" s="1"/>
</calcChain>
</file>

<file path=xl/comments1.xml><?xml version="1.0" encoding="utf-8"?>
<comments xmlns="http://schemas.openxmlformats.org/spreadsheetml/2006/main">
  <authors>
    <author>Author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Нето платата не ја внесувате тука, туку екселот сам ја пресметува врз основа на внесените параметри. Следете ги следните чекори:
1. Внесувате период (ако се работи за цел месец тогаш прв и последен ден од месецот) во H16 и H17;
2. Внесувате основна плата во договор во I27;
3. Доколку имате и варијабилен дел (работна успешност) од плата го внесувате истиот во I28 (овој дел од плата се зема како нето додаток и не се скалира во однос на ефективните работни саати).</t>
        </r>
      </text>
    </comment>
  </commentList>
</comments>
</file>

<file path=xl/sharedStrings.xml><?xml version="1.0" encoding="utf-8"?>
<sst xmlns="http://schemas.openxmlformats.org/spreadsheetml/2006/main" count="466" uniqueCount="76">
  <si>
    <t>Нето плата</t>
  </si>
  <si>
    <t>Придонес за ПИОМ</t>
  </si>
  <si>
    <t>Придонес за ЗО</t>
  </si>
  <si>
    <t>Придонес 0,5%</t>
  </si>
  <si>
    <t>Придонес за невработеност</t>
  </si>
  <si>
    <t>Збир продонеси (збир ред 5 до ред 8)</t>
  </si>
  <si>
    <t>Коеф. за пресметка на Бруто II (100 / (100 - ред 9))</t>
  </si>
  <si>
    <t>Бруто I * Коеф. (Бруто II) (ред 4 * ред 10)</t>
  </si>
  <si>
    <t>Износ на придонес за ПИОМ (ред 5 * ред 11)</t>
  </si>
  <si>
    <t>Износ на придонес за ЗО (ред 6 * ред 11)</t>
  </si>
  <si>
    <t>Износ на придонес 0,5% (ред 7 * ред 11)</t>
  </si>
  <si>
    <t>Износ на придонес за невработеност (ред 8 * ред 11)</t>
  </si>
  <si>
    <t>Работно време (100% = 40 работни саати)</t>
  </si>
  <si>
    <t>Минимална основа за придонеси</t>
  </si>
  <si>
    <t>Минимална основа за придонеси за дадено работно време</t>
  </si>
  <si>
    <t>Бруто плата</t>
  </si>
  <si>
    <t>Максимална основа за придонеси за дадено работно време</t>
  </si>
  <si>
    <t>Вкупен трошок за даноци и придонеси</t>
  </si>
  <si>
    <t>Ефективна даночна стапка вкалкулирана во бруто плата</t>
  </si>
  <si>
    <t>Ефективна даночна стапка на нето плата</t>
  </si>
  <si>
    <t>Бруто плата = ред 1 + ред 3 + ред 12 до ред 15</t>
  </si>
  <si>
    <t>Нето плата + ПДД (Бруто I) (ред 1 + ред 3)</t>
  </si>
  <si>
    <t>Даночно намалување за месецот за еден вработен</t>
  </si>
  <si>
    <t>Пресметана стапка ДЛД до 90.000 бруто доход (81.000 нето)</t>
  </si>
  <si>
    <t>Пресметана стапка ДЛД над 90.000 бруто доход (81.000 нето)</t>
  </si>
  <si>
    <t>Пропишана стапка ДЛД до 90.000 бруто доход (81.000 нето)</t>
  </si>
  <si>
    <t>Пропишана стапка ДЛД над 90.000 бруто доход (81.000 нето)</t>
  </si>
  <si>
    <t>Даночна основа за ДЛД</t>
  </si>
  <si>
    <t>Основа за данок на личен доход</t>
  </si>
  <si>
    <t>Бруто плата - придонеси (Бруто I)</t>
  </si>
  <si>
    <t xml:space="preserve">Данок на доход </t>
  </si>
  <si>
    <t>Даночно намалување за месецот за еден вработен (да се ажурира во 2020 год.!)</t>
  </si>
  <si>
    <t>Пресметана стапка ДЛД до 90.000 бруто доход (81.000 нето даночна основа (нето плата - даночно олеснување)</t>
  </si>
  <si>
    <t>Пресметана стапка ДЛД над 90.000 бруто доход (над 81.000 нето даночна основа)</t>
  </si>
  <si>
    <t>Просечна бруто пата на републичко ниво објавена во јануари (внесете актуелен податок)</t>
  </si>
  <si>
    <t>Износ на придонес за ПИОМ (ред 5 * ред 1)</t>
  </si>
  <si>
    <t>Износ на придонес за ЗО (ред 6 * ред 1)</t>
  </si>
  <si>
    <t>Износ на придонес 0,5% (ред 7 * ред 1)</t>
  </si>
  <si>
    <t>Износ на придонес за невработеност (ред 8 * ред 1)</t>
  </si>
  <si>
    <t>Нето плата + ДЛД (Бруто I) (ред 1 + ред 3)</t>
  </si>
  <si>
    <t>Данок на личен доход</t>
  </si>
  <si>
    <t xml:space="preserve">Данок на личен доход </t>
  </si>
  <si>
    <t>Даночна основа за ПДД</t>
  </si>
  <si>
    <t>Персонален данок на доход</t>
  </si>
  <si>
    <t>Даночно намалување за месецот за еден вработен за тековна година</t>
  </si>
  <si>
    <t>За период:</t>
  </si>
  <si>
    <t>Работни ден.:</t>
  </si>
  <si>
    <t>Работни час.:</t>
  </si>
  <si>
    <t>Внимавајте, периодот не смее да е подолг од еден календарски месец</t>
  </si>
  <si>
    <t>Нето плата за цел месец:</t>
  </si>
  <si>
    <t>Ефективни:</t>
  </si>
  <si>
    <t>Можни:</t>
  </si>
  <si>
    <t>Месец:</t>
  </si>
  <si>
    <t>Можни саати:</t>
  </si>
  <si>
    <t>Работна успешност:</t>
  </si>
  <si>
    <t>Основна плата (договор)</t>
  </si>
  <si>
    <t>Работни часови по месец за 2022:</t>
  </si>
  <si>
    <t>Работни часови по месец за 2023:</t>
  </si>
  <si>
    <t>Информативно: минимална бруто плата почнувајќи од 3.2024</t>
  </si>
  <si>
    <t>Информативно: минимална нето плата почнувајќи од 3.2024</t>
  </si>
  <si>
    <t>Даночна основа за ДЛД (нето)</t>
  </si>
  <si>
    <t>Основа за данок на личен доход (бруто)</t>
  </si>
  <si>
    <t>Работни часови по месец за 2024:</t>
  </si>
  <si>
    <t>Работни часови по месец за 2025:</t>
  </si>
  <si>
    <t>Прекувремени саати</t>
  </si>
  <si>
    <t>Ноќни саати</t>
  </si>
  <si>
    <t>Недела - трговија</t>
  </si>
  <si>
    <t>Недела - други дејности</t>
  </si>
  <si>
    <t>Празници - трговија (чл. 2 од ЗП)</t>
  </si>
  <si>
    <t>Минат труд (години)</t>
  </si>
  <si>
    <t>Додатоци (внесете саати):</t>
  </si>
  <si>
    <t>Саатнина</t>
  </si>
  <si>
    <t>Празници - др. дејности и чл. 4 од ЗП</t>
  </si>
  <si>
    <t>Саати:</t>
  </si>
  <si>
    <t>Информативно: минимална основна нето плата почнувајќи од 3.2025 а до 2.2026</t>
  </si>
  <si>
    <t>Информативно: минимална основна бруто плата почнувајќи од 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</si>
</sst>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&quot;ден.&quot;"/>
    <numFmt numFmtId="165" formatCode="0.0000"/>
    <numFmt numFmtId="166" formatCode="0.0"/>
    <numFmt numFmtId="167" formatCode="0.0000%"/>
    <numFmt numFmtId="168" formatCode="dd/mm/yyyy;@"/>
    <numFmt numFmtId="169" formatCode="#,##0\ &quot;ден&quot;"/>
    <numFmt numFmtId="172" formatCode="#,##0.000\ &quot;ден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164" fontId="0" fillId="2" borderId="0" xfId="0" applyNumberFormat="1" applyFill="1" applyProtection="1">
      <protection locked="0"/>
    </xf>
    <xf numFmtId="164" fontId="0" fillId="0" borderId="0" xfId="0" applyNumberFormat="1" applyProtection="1">
      <protection hidden="1"/>
    </xf>
    <xf numFmtId="164" fontId="5" fillId="0" borderId="0" xfId="0" applyNumberFormat="1" applyFont="1" applyProtection="1">
      <protection hidden="1"/>
    </xf>
    <xf numFmtId="165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Protection="1">
      <protection hidden="1"/>
    </xf>
    <xf numFmtId="164" fontId="0" fillId="3" borderId="0" xfId="0" applyNumberFormat="1" applyFill="1" applyProtection="1">
      <protection hidden="1"/>
    </xf>
    <xf numFmtId="9" fontId="0" fillId="3" borderId="0" xfId="0" applyNumberFormat="1" applyFill="1" applyProtection="1">
      <protection hidden="1"/>
    </xf>
    <xf numFmtId="10" fontId="0" fillId="3" borderId="0" xfId="0" applyNumberFormat="1" applyFill="1" applyProtection="1">
      <protection hidden="1"/>
    </xf>
    <xf numFmtId="0" fontId="0" fillId="3" borderId="0" xfId="0" applyFill="1" applyProtection="1">
      <protection hidden="1"/>
    </xf>
    <xf numFmtId="167" fontId="0" fillId="0" borderId="0" xfId="0" applyNumberFormat="1" applyProtection="1">
      <protection hidden="1"/>
    </xf>
    <xf numFmtId="10" fontId="0" fillId="0" borderId="0" xfId="0" applyNumberFormat="1" applyProtection="1">
      <protection hidden="1"/>
    </xf>
    <xf numFmtId="0" fontId="6" fillId="0" borderId="0" xfId="0" applyFont="1" applyProtection="1">
      <protection hidden="1"/>
    </xf>
    <xf numFmtId="10" fontId="4" fillId="3" borderId="0" xfId="0" applyNumberFormat="1" applyFont="1" applyFill="1" applyProtection="1">
      <protection hidden="1"/>
    </xf>
    <xf numFmtId="164" fontId="4" fillId="3" borderId="0" xfId="0" applyNumberFormat="1" applyFont="1" applyFill="1" applyProtection="1">
      <protection hidden="1"/>
    </xf>
    <xf numFmtId="9" fontId="4" fillId="3" borderId="0" xfId="0" applyNumberFormat="1" applyFont="1" applyFill="1" applyProtection="1">
      <protection hidden="1"/>
    </xf>
    <xf numFmtId="0" fontId="7" fillId="0" borderId="0" xfId="0" applyFont="1" applyProtection="1">
      <protection hidden="1"/>
    </xf>
    <xf numFmtId="164" fontId="0" fillId="3" borderId="0" xfId="0" applyNumberFormat="1" applyFill="1" applyProtection="1">
      <protection locked="0"/>
    </xf>
    <xf numFmtId="164" fontId="3" fillId="3" borderId="0" xfId="0" applyNumberFormat="1" applyFont="1" applyFill="1" applyProtection="1">
      <protection locked="0"/>
    </xf>
    <xf numFmtId="0" fontId="3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9" fontId="0" fillId="3" borderId="0" xfId="0" applyNumberFormat="1" applyFill="1" applyProtection="1">
      <protection locked="0"/>
    </xf>
    <xf numFmtId="164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164" fontId="4" fillId="3" borderId="0" xfId="0" applyNumberFormat="1" applyFont="1" applyFill="1" applyProtection="1">
      <protection locked="0"/>
    </xf>
    <xf numFmtId="9" fontId="4" fillId="3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167" fontId="0" fillId="0" borderId="0" xfId="0" applyNumberFormat="1" applyProtection="1">
      <protection locked="0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4" borderId="0" xfId="0" applyFill="1" applyProtection="1">
      <protection hidden="1"/>
    </xf>
    <xf numFmtId="0" fontId="10" fillId="0" borderId="0" xfId="0" applyFont="1"/>
    <xf numFmtId="0" fontId="10" fillId="0" borderId="0" xfId="0" applyFont="1" applyProtection="1">
      <protection hidden="1"/>
    </xf>
    <xf numFmtId="1" fontId="10" fillId="0" borderId="0" xfId="0" applyNumberFormat="1" applyFont="1"/>
    <xf numFmtId="0" fontId="0" fillId="2" borderId="0" xfId="0" applyFill="1" applyProtection="1">
      <protection hidden="1"/>
    </xf>
    <xf numFmtId="0" fontId="11" fillId="4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168" fontId="0" fillId="2" borderId="0" xfId="0" applyNumberFormat="1" applyFill="1" applyProtection="1">
      <protection locked="0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12" fillId="2" borderId="5" xfId="0" applyFont="1" applyFill="1" applyBorder="1" applyProtection="1">
      <protection hidden="1"/>
    </xf>
    <xf numFmtId="0" fontId="12" fillId="2" borderId="6" xfId="0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2" borderId="7" xfId="0" applyFill="1" applyBorder="1" applyProtection="1">
      <protection hidden="1"/>
    </xf>
    <xf numFmtId="0" fontId="12" fillId="2" borderId="7" xfId="0" applyFont="1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1" fontId="5" fillId="2" borderId="1" xfId="0" applyNumberFormat="1" applyFont="1" applyFill="1" applyBorder="1"/>
    <xf numFmtId="0" fontId="5" fillId="2" borderId="5" xfId="0" applyFont="1" applyFill="1" applyBorder="1"/>
    <xf numFmtId="0" fontId="5" fillId="2" borderId="1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164" fontId="0" fillId="5" borderId="0" xfId="0" applyNumberFormat="1" applyFill="1" applyProtection="1">
      <protection locked="0"/>
    </xf>
    <xf numFmtId="0" fontId="0" fillId="5" borderId="0" xfId="0" applyFill="1" applyProtection="1">
      <protection hidden="1"/>
    </xf>
    <xf numFmtId="0" fontId="0" fillId="0" borderId="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2" xfId="0" applyBorder="1" applyAlignment="1" applyProtection="1">
      <alignment horizontal="right"/>
      <protection hidden="1"/>
    </xf>
    <xf numFmtId="0" fontId="0" fillId="0" borderId="13" xfId="0" applyBorder="1" applyProtection="1">
      <protection hidden="1"/>
    </xf>
    <xf numFmtId="0" fontId="0" fillId="0" borderId="17" xfId="0" applyBorder="1" applyAlignment="1" applyProtection="1">
      <alignment horizontal="right"/>
      <protection hidden="1"/>
    </xf>
    <xf numFmtId="0" fontId="0" fillId="0" borderId="8" xfId="0" applyBorder="1" applyProtection="1">
      <protection hidden="1"/>
    </xf>
    <xf numFmtId="0" fontId="0" fillId="0" borderId="18" xfId="0" applyBorder="1" applyProtection="1">
      <protection hidden="1"/>
    </xf>
    <xf numFmtId="0" fontId="0" fillId="2" borderId="12" xfId="0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10" fontId="4" fillId="2" borderId="13" xfId="0" applyNumberFormat="1" applyFont="1" applyFill="1" applyBorder="1" applyProtection="1">
      <protection hidden="1"/>
    </xf>
    <xf numFmtId="0" fontId="0" fillId="2" borderId="12" xfId="0" applyFill="1" applyBorder="1" applyAlignment="1" applyProtection="1">
      <alignment horizontal="right"/>
      <protection hidden="1"/>
    </xf>
    <xf numFmtId="0" fontId="0" fillId="3" borderId="12" xfId="0" applyFill="1" applyBorder="1" applyAlignment="1" applyProtection="1">
      <alignment horizontal="right"/>
      <protection hidden="1"/>
    </xf>
    <xf numFmtId="164" fontId="0" fillId="3" borderId="1" xfId="0" applyNumberFormat="1" applyFill="1" applyBorder="1" applyProtection="1">
      <protection hidden="1"/>
    </xf>
    <xf numFmtId="164" fontId="0" fillId="3" borderId="13" xfId="0" applyNumberFormat="1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7" borderId="12" xfId="0" applyFill="1" applyBorder="1" applyAlignment="1" applyProtection="1">
      <alignment horizontal="right"/>
      <protection hidden="1"/>
    </xf>
    <xf numFmtId="164" fontId="0" fillId="7" borderId="1" xfId="0" applyNumberFormat="1" applyFill="1" applyBorder="1" applyProtection="1">
      <protection hidden="1"/>
    </xf>
    <xf numFmtId="164" fontId="0" fillId="7" borderId="13" xfId="0" applyNumberFormat="1" applyFill="1" applyBorder="1" applyProtection="1">
      <protection hidden="1"/>
    </xf>
    <xf numFmtId="0" fontId="0" fillId="7" borderId="12" xfId="0" applyFill="1" applyBorder="1" applyProtection="1">
      <protection hidden="1"/>
    </xf>
    <xf numFmtId="0" fontId="0" fillId="5" borderId="12" xfId="0" applyFill="1" applyBorder="1" applyAlignment="1" applyProtection="1">
      <alignment horizontal="right"/>
      <protection hidden="1"/>
    </xf>
    <xf numFmtId="164" fontId="0" fillId="5" borderId="1" xfId="0" applyNumberFormat="1" applyFill="1" applyBorder="1" applyProtection="1">
      <protection hidden="1"/>
    </xf>
    <xf numFmtId="164" fontId="8" fillId="5" borderId="13" xfId="0" applyNumberFormat="1" applyFont="1" applyFill="1" applyBorder="1" applyProtection="1">
      <protection hidden="1"/>
    </xf>
    <xf numFmtId="0" fontId="0" fillId="8" borderId="12" xfId="0" applyFill="1" applyBorder="1" applyProtection="1">
      <protection hidden="1"/>
    </xf>
    <xf numFmtId="164" fontId="0" fillId="8" borderId="1" xfId="0" applyNumberFormat="1" applyFill="1" applyBorder="1" applyProtection="1">
      <protection hidden="1"/>
    </xf>
    <xf numFmtId="164" fontId="0" fillId="8" borderId="13" xfId="0" applyNumberFormat="1" applyFill="1" applyBorder="1" applyProtection="1">
      <protection hidden="1"/>
    </xf>
    <xf numFmtId="0" fontId="0" fillId="8" borderId="12" xfId="0" applyFill="1" applyBorder="1" applyAlignment="1" applyProtection="1">
      <alignment horizontal="right"/>
      <protection hidden="1"/>
    </xf>
    <xf numFmtId="0" fontId="14" fillId="10" borderId="14" xfId="0" applyFont="1" applyFill="1" applyBorder="1" applyProtection="1">
      <protection hidden="1"/>
    </xf>
    <xf numFmtId="164" fontId="14" fillId="10" borderId="15" xfId="0" applyNumberFormat="1" applyFont="1" applyFill="1" applyBorder="1" applyProtection="1">
      <protection hidden="1"/>
    </xf>
    <xf numFmtId="164" fontId="14" fillId="10" borderId="16" xfId="0" applyNumberFormat="1" applyFont="1" applyFill="1" applyBorder="1" applyProtection="1">
      <protection hidden="1"/>
    </xf>
    <xf numFmtId="0" fontId="14" fillId="6" borderId="9" xfId="0" applyFont="1" applyFill="1" applyBorder="1" applyAlignment="1" applyProtection="1">
      <alignment horizontal="right"/>
      <protection hidden="1"/>
    </xf>
    <xf numFmtId="0" fontId="14" fillId="6" borderId="10" xfId="0" applyFont="1" applyFill="1" applyBorder="1" applyProtection="1">
      <protection hidden="1"/>
    </xf>
    <xf numFmtId="164" fontId="14" fillId="6" borderId="11" xfId="0" applyNumberFormat="1" applyFont="1" applyFill="1" applyBorder="1" applyProtection="1">
      <protection locked="0"/>
    </xf>
    <xf numFmtId="0" fontId="14" fillId="9" borderId="12" xfId="0" applyFont="1" applyFill="1" applyBorder="1" applyAlignment="1" applyProtection="1">
      <alignment horizontal="right"/>
      <protection hidden="1"/>
    </xf>
    <xf numFmtId="0" fontId="14" fillId="9" borderId="1" xfId="0" applyFont="1" applyFill="1" applyBorder="1" applyProtection="1">
      <protection hidden="1"/>
    </xf>
    <xf numFmtId="164" fontId="14" fillId="9" borderId="13" xfId="0" applyNumberFormat="1" applyFont="1" applyFill="1" applyBorder="1" applyProtection="1">
      <protection hidden="1"/>
    </xf>
    <xf numFmtId="10" fontId="14" fillId="9" borderId="13" xfId="0" applyNumberFormat="1" applyFont="1" applyFill="1" applyBorder="1" applyProtection="1">
      <protection hidden="1"/>
    </xf>
    <xf numFmtId="0" fontId="14" fillId="9" borderId="14" xfId="0" applyFont="1" applyFill="1" applyBorder="1" applyAlignment="1" applyProtection="1">
      <alignment horizontal="right"/>
      <protection hidden="1"/>
    </xf>
    <xf numFmtId="0" fontId="14" fillId="9" borderId="15" xfId="0" applyFont="1" applyFill="1" applyBorder="1" applyProtection="1">
      <protection hidden="1"/>
    </xf>
    <xf numFmtId="10" fontId="14" fillId="9" borderId="16" xfId="0" applyNumberFormat="1" applyFont="1" applyFill="1" applyBorder="1" applyProtection="1">
      <protection hidden="1"/>
    </xf>
    <xf numFmtId="164" fontId="0" fillId="5" borderId="0" xfId="0" applyNumberFormat="1" applyFill="1" applyProtection="1">
      <protection hidden="1"/>
    </xf>
    <xf numFmtId="10" fontId="0" fillId="3" borderId="13" xfId="0" applyNumberFormat="1" applyFill="1" applyBorder="1" applyProtection="1">
      <protection hidden="1"/>
    </xf>
    <xf numFmtId="0" fontId="14" fillId="9" borderId="9" xfId="0" applyFont="1" applyFill="1" applyBorder="1" applyAlignment="1" applyProtection="1">
      <alignment horizontal="right"/>
      <protection hidden="1"/>
    </xf>
    <xf numFmtId="0" fontId="14" fillId="9" borderId="10" xfId="0" applyFont="1" applyFill="1" applyBorder="1" applyProtection="1">
      <protection hidden="1"/>
    </xf>
    <xf numFmtId="164" fontId="14" fillId="9" borderId="11" xfId="0" applyNumberFormat="1" applyFont="1" applyFill="1" applyBorder="1" applyProtection="1">
      <protection hidden="1"/>
    </xf>
    <xf numFmtId="0" fontId="10" fillId="9" borderId="12" xfId="0" applyFont="1" applyFill="1" applyBorder="1" applyAlignment="1" applyProtection="1">
      <alignment horizontal="right"/>
      <protection hidden="1"/>
    </xf>
    <xf numFmtId="164" fontId="10" fillId="9" borderId="13" xfId="0" applyNumberFormat="1" applyFont="1" applyFill="1" applyBorder="1" applyProtection="1">
      <protection hidden="1"/>
    </xf>
    <xf numFmtId="164" fontId="14" fillId="9" borderId="1" xfId="0" applyNumberFormat="1" applyFont="1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0" fillId="5" borderId="1" xfId="0" applyFill="1" applyBorder="1" applyProtection="1">
      <protection hidden="1"/>
    </xf>
    <xf numFmtId="164" fontId="0" fillId="5" borderId="13" xfId="0" applyNumberFormat="1" applyFill="1" applyBorder="1" applyProtection="1">
      <protection hidden="1"/>
    </xf>
    <xf numFmtId="0" fontId="10" fillId="11" borderId="12" xfId="0" applyFont="1" applyFill="1" applyBorder="1" applyAlignment="1" applyProtection="1">
      <alignment horizontal="right"/>
      <protection hidden="1"/>
    </xf>
    <xf numFmtId="164" fontId="10" fillId="11" borderId="1" xfId="0" applyNumberFormat="1" applyFont="1" applyFill="1" applyBorder="1" applyProtection="1">
      <protection hidden="1"/>
    </xf>
    <xf numFmtId="164" fontId="10" fillId="11" borderId="13" xfId="0" applyNumberFormat="1" applyFont="1" applyFill="1" applyBorder="1" applyProtection="1">
      <protection hidden="1"/>
    </xf>
    <xf numFmtId="0" fontId="0" fillId="12" borderId="12" xfId="0" applyFill="1" applyBorder="1" applyProtection="1">
      <protection hidden="1"/>
    </xf>
    <xf numFmtId="164" fontId="0" fillId="12" borderId="1" xfId="0" applyNumberFormat="1" applyFill="1" applyBorder="1" applyProtection="1">
      <protection hidden="1"/>
    </xf>
    <xf numFmtId="0" fontId="0" fillId="12" borderId="12" xfId="0" applyFill="1" applyBorder="1" applyAlignment="1" applyProtection="1">
      <alignment horizontal="right"/>
      <protection hidden="1"/>
    </xf>
    <xf numFmtId="166" fontId="5" fillId="12" borderId="13" xfId="0" applyNumberFormat="1" applyFont="1" applyFill="1" applyBorder="1" applyProtection="1">
      <protection hidden="1"/>
    </xf>
    <xf numFmtId="165" fontId="5" fillId="12" borderId="13" xfId="0" applyNumberFormat="1" applyFont="1" applyFill="1" applyBorder="1" applyProtection="1">
      <protection hidden="1"/>
    </xf>
    <xf numFmtId="0" fontId="14" fillId="9" borderId="12" xfId="0" applyFont="1" applyFill="1" applyBorder="1" applyProtection="1">
      <protection hidden="1"/>
    </xf>
    <xf numFmtId="0" fontId="10" fillId="9" borderId="1" xfId="0" applyFont="1" applyFill="1" applyBorder="1" applyProtection="1">
      <protection hidden="1"/>
    </xf>
    <xf numFmtId="10" fontId="10" fillId="9" borderId="13" xfId="0" applyNumberFormat="1" applyFont="1" applyFill="1" applyBorder="1" applyProtection="1">
      <protection hidden="1"/>
    </xf>
    <xf numFmtId="0" fontId="10" fillId="9" borderId="14" xfId="0" applyFont="1" applyFill="1" applyBorder="1" applyAlignment="1" applyProtection="1">
      <alignment horizontal="right"/>
      <protection hidden="1"/>
    </xf>
    <xf numFmtId="0" fontId="10" fillId="9" borderId="15" xfId="0" applyFont="1" applyFill="1" applyBorder="1" applyProtection="1">
      <protection hidden="1"/>
    </xf>
    <xf numFmtId="10" fontId="10" fillId="9" borderId="16" xfId="0" applyNumberFormat="1" applyFont="1" applyFill="1" applyBorder="1" applyProtection="1">
      <protection hidden="1"/>
    </xf>
    <xf numFmtId="169" fontId="0" fillId="2" borderId="0" xfId="0" applyNumberFormat="1" applyFill="1" applyAlignment="1" applyProtection="1">
      <alignment horizontal="center"/>
      <protection locked="0"/>
    </xf>
    <xf numFmtId="169" fontId="0" fillId="2" borderId="5" xfId="0" applyNumberFormat="1" applyFill="1" applyBorder="1" applyAlignment="1" applyProtection="1">
      <alignment horizontal="center"/>
      <protection locked="0"/>
    </xf>
    <xf numFmtId="169" fontId="0" fillId="2" borderId="6" xfId="0" applyNumberFormat="1" applyFill="1" applyBorder="1" applyAlignment="1" applyProtection="1">
      <alignment horizontal="center"/>
      <protection locked="0"/>
    </xf>
    <xf numFmtId="169" fontId="12" fillId="2" borderId="5" xfId="0" applyNumberFormat="1" applyFont="1" applyFill="1" applyBorder="1" applyAlignment="1" applyProtection="1">
      <alignment horizontal="center"/>
      <protection hidden="1"/>
    </xf>
    <xf numFmtId="0" fontId="12" fillId="2" borderId="6" xfId="0" applyFont="1" applyFill="1" applyBorder="1" applyAlignment="1" applyProtection="1">
      <alignment horizontal="center"/>
      <protection hidden="1"/>
    </xf>
    <xf numFmtId="0" fontId="0" fillId="2" borderId="20" xfId="0" applyFill="1" applyBorder="1" applyProtection="1">
      <protection hidden="1"/>
    </xf>
    <xf numFmtId="0" fontId="0" fillId="2" borderId="1" xfId="0" applyFill="1" applyBorder="1" applyProtection="1">
      <protection locked="0"/>
    </xf>
    <xf numFmtId="172" fontId="0" fillId="2" borderId="5" xfId="0" applyNumberFormat="1" applyFill="1" applyBorder="1" applyAlignment="1" applyProtection="1">
      <alignment horizontal="center"/>
      <protection locked="0"/>
    </xf>
    <xf numFmtId="0" fontId="12" fillId="2" borderId="21" xfId="0" applyFont="1" applyFill="1" applyBorder="1" applyProtection="1">
      <protection hidden="1"/>
    </xf>
    <xf numFmtId="0" fontId="0" fillId="2" borderId="22" xfId="0" applyFill="1" applyBorder="1" applyProtection="1">
      <protection hidden="1"/>
    </xf>
    <xf numFmtId="169" fontId="12" fillId="2" borderId="23" xfId="0" applyNumberFormat="1" applyFont="1" applyFill="1" applyBorder="1" applyAlignment="1" applyProtection="1">
      <alignment horizontal="center"/>
      <protection locked="0"/>
    </xf>
    <xf numFmtId="169" fontId="12" fillId="2" borderId="24" xfId="0" applyNumberFormat="1" applyFont="1" applyFill="1" applyBorder="1" applyAlignment="1" applyProtection="1">
      <alignment horizontal="center"/>
      <protection locked="0"/>
    </xf>
    <xf numFmtId="172" fontId="1" fillId="2" borderId="19" xfId="0" applyNumberFormat="1" applyFont="1" applyFill="1" applyBorder="1" applyAlignment="1" applyProtection="1">
      <alignment horizontal="center"/>
      <protection hidden="1"/>
    </xf>
    <xf numFmtId="169" fontId="0" fillId="2" borderId="23" xfId="0" applyNumberFormat="1" applyFill="1" applyBorder="1" applyAlignment="1" applyProtection="1">
      <alignment horizontal="center"/>
      <protection locked="0"/>
    </xf>
    <xf numFmtId="169" fontId="0" fillId="2" borderId="24" xfId="0" applyNumberFormat="1" applyFill="1" applyBorder="1" applyAlignment="1" applyProtection="1">
      <alignment horizontal="center"/>
      <protection locked="0"/>
    </xf>
    <xf numFmtId="0" fontId="12" fillId="2" borderId="25" xfId="0" applyFont="1" applyFill="1" applyBorder="1" applyProtection="1">
      <protection hidden="1"/>
    </xf>
    <xf numFmtId="172" fontId="1" fillId="2" borderId="26" xfId="0" applyNumberFormat="1" applyFont="1" applyFill="1" applyBorder="1" applyAlignment="1" applyProtection="1">
      <alignment horizontal="center"/>
      <protection hidden="1"/>
    </xf>
    <xf numFmtId="0" fontId="15" fillId="2" borderId="12" xfId="0" applyFont="1" applyFill="1" applyBorder="1" applyAlignment="1" applyProtection="1">
      <protection hidden="1"/>
    </xf>
    <xf numFmtId="172" fontId="0" fillId="2" borderId="27" xfId="0" applyNumberFormat="1" applyFill="1" applyBorder="1" applyAlignment="1" applyProtection="1">
      <alignment horizontal="center"/>
      <protection locked="0"/>
    </xf>
    <xf numFmtId="0" fontId="16" fillId="2" borderId="12" xfId="0" applyFont="1" applyFill="1" applyBorder="1" applyAlignment="1" applyProtection="1">
      <protection hidden="1"/>
    </xf>
    <xf numFmtId="0" fontId="15" fillId="2" borderId="14" xfId="0" applyFont="1" applyFill="1" applyBorder="1" applyAlignment="1" applyProtection="1">
      <protection hidden="1"/>
    </xf>
    <xf numFmtId="0" fontId="0" fillId="2" borderId="15" xfId="0" applyFill="1" applyBorder="1" applyProtection="1">
      <protection locked="0"/>
    </xf>
    <xf numFmtId="172" fontId="0" fillId="2" borderId="28" xfId="0" applyNumberFormat="1" applyFill="1" applyBorder="1" applyAlignment="1" applyProtection="1">
      <alignment horizontal="center"/>
      <protection locked="0"/>
    </xf>
    <xf numFmtId="172" fontId="0" fillId="2" borderId="29" xfId="0" applyNumberFormat="1" applyFill="1" applyBorder="1" applyAlignment="1" applyProtection="1">
      <alignment horizontal="center"/>
      <protection locked="0"/>
    </xf>
    <xf numFmtId="0" fontId="12" fillId="2" borderId="9" xfId="0" applyFont="1" applyFill="1" applyBorder="1" applyProtection="1">
      <protection hidden="1"/>
    </xf>
    <xf numFmtId="0" fontId="12" fillId="2" borderId="30" xfId="0" applyFont="1" applyFill="1" applyBorder="1" applyProtection="1">
      <protection hidden="1"/>
    </xf>
    <xf numFmtId="169" fontId="12" fillId="2" borderId="31" xfId="0" applyNumberFormat="1" applyFont="1" applyFill="1" applyBorder="1" applyAlignment="1" applyProtection="1">
      <alignment horizontal="center"/>
      <protection locked="0"/>
    </xf>
    <xf numFmtId="169" fontId="12" fillId="2" borderId="32" xfId="0" applyNumberFormat="1" applyFont="1" applyFill="1" applyBorder="1" applyAlignment="1" applyProtection="1">
      <alignment horizontal="center"/>
      <protection locked="0"/>
    </xf>
    <xf numFmtId="9" fontId="0" fillId="2" borderId="33" xfId="0" applyNumberFormat="1" applyFill="1" applyBorder="1" applyProtection="1">
      <protection hidden="1"/>
    </xf>
    <xf numFmtId="9" fontId="0" fillId="2" borderId="34" xfId="0" applyNumberFormat="1" applyFill="1" applyBorder="1" applyProtection="1">
      <protection hidden="1"/>
    </xf>
    <xf numFmtId="10" fontId="0" fillId="2" borderId="35" xfId="0" applyNumberFormat="1" applyFill="1" applyBorder="1" applyProtection="1">
      <protection hidden="1"/>
    </xf>
  </cellXfs>
  <cellStyles count="1">
    <cellStyle name="Normal" xfId="0" builtinId="0"/>
  </cellStyles>
  <dxfs count="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0</v>
      </c>
      <c r="C1" s="1">
        <v>25000</v>
      </c>
      <c r="G1" s="8">
        <v>32877</v>
      </c>
      <c r="H1" s="18" t="s">
        <v>34</v>
      </c>
    </row>
    <row r="2" spans="1:8" x14ac:dyDescent="0.3">
      <c r="A2" s="7">
        <v>2</v>
      </c>
      <c r="B2" s="7" t="s">
        <v>42</v>
      </c>
      <c r="C2" s="2">
        <f>IF(C1-G9&gt;0,C1-G9,0)</f>
        <v>17469</v>
      </c>
      <c r="G2" s="9">
        <v>0.5</v>
      </c>
    </row>
    <row r="3" spans="1:8" x14ac:dyDescent="0.3">
      <c r="A3" s="7">
        <v>3</v>
      </c>
      <c r="B3" s="2" t="s">
        <v>43</v>
      </c>
      <c r="C3" s="2">
        <f>IF(C2&lt;81000,C2*G13,(C2-81000)*G14+81000*G13)</f>
        <v>1941.0000000000002</v>
      </c>
      <c r="G3" s="2">
        <f>G1*G2</f>
        <v>16438.5</v>
      </c>
      <c r="H3" s="7" t="s">
        <v>13</v>
      </c>
    </row>
    <row r="4" spans="1:8" x14ac:dyDescent="0.3">
      <c r="A4" s="6">
        <v>4</v>
      </c>
      <c r="B4" s="2" t="s">
        <v>21</v>
      </c>
      <c r="C4" s="3">
        <f>C1+C3</f>
        <v>26941</v>
      </c>
      <c r="G4" s="9">
        <v>1</v>
      </c>
      <c r="H4" s="7" t="s">
        <v>12</v>
      </c>
    </row>
    <row r="5" spans="1:8" x14ac:dyDescent="0.3">
      <c r="A5" s="7">
        <v>5</v>
      </c>
      <c r="B5" s="2" t="s">
        <v>1</v>
      </c>
      <c r="C5" s="10">
        <v>0.18</v>
      </c>
      <c r="G5" s="2">
        <f>G3*G4</f>
        <v>16438.5</v>
      </c>
      <c r="H5" s="7" t="s">
        <v>14</v>
      </c>
    </row>
    <row r="6" spans="1:8" x14ac:dyDescent="0.3">
      <c r="A6" s="6">
        <v>6</v>
      </c>
      <c r="B6" s="2" t="s">
        <v>2</v>
      </c>
      <c r="C6" s="10">
        <v>7.2999999999999995E-2</v>
      </c>
      <c r="G6" s="11">
        <v>16</v>
      </c>
    </row>
    <row r="7" spans="1:8" x14ac:dyDescent="0.3">
      <c r="A7" s="7">
        <v>7</v>
      </c>
      <c r="B7" s="2" t="s">
        <v>3</v>
      </c>
      <c r="C7" s="10">
        <v>5.0000000000000001E-3</v>
      </c>
      <c r="G7" s="2">
        <f>G6*G1</f>
        <v>526032</v>
      </c>
      <c r="H7" s="7" t="s">
        <v>16</v>
      </c>
    </row>
    <row r="8" spans="1:8" x14ac:dyDescent="0.3">
      <c r="A8" s="6">
        <v>8</v>
      </c>
      <c r="B8" s="2" t="s">
        <v>4</v>
      </c>
      <c r="C8" s="10">
        <v>1.2E-2</v>
      </c>
      <c r="G8" s="8">
        <v>7531</v>
      </c>
      <c r="H8" s="7" t="s">
        <v>22</v>
      </c>
    </row>
    <row r="9" spans="1:8" x14ac:dyDescent="0.3">
      <c r="A9" s="7">
        <v>9</v>
      </c>
      <c r="B9" s="2" t="s">
        <v>5</v>
      </c>
      <c r="C9" s="5">
        <f>(C5+C6+C7+C8)*100</f>
        <v>27</v>
      </c>
      <c r="G9" s="2">
        <f>G8*G4</f>
        <v>7531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6</v>
      </c>
      <c r="C10" s="4">
        <f>100/(100-C9)</f>
        <v>1.3698630136986301</v>
      </c>
      <c r="G10" s="9">
        <v>0.1</v>
      </c>
      <c r="H10" s="7" t="s">
        <v>25</v>
      </c>
    </row>
    <row r="11" spans="1:8" x14ac:dyDescent="0.3">
      <c r="A11" s="7">
        <v>11</v>
      </c>
      <c r="B11" s="2" t="s">
        <v>7</v>
      </c>
      <c r="C11" s="3">
        <f>IF(C4*C10&lt;G5,G5,IF(C4*C10&gt;G7,G7,C4*C10))</f>
        <v>36905.479452054795</v>
      </c>
      <c r="G11" s="9">
        <v>0.1</v>
      </c>
      <c r="H11" s="7" t="s">
        <v>26</v>
      </c>
    </row>
    <row r="12" spans="1:8" x14ac:dyDescent="0.3">
      <c r="A12" s="6">
        <v>12</v>
      </c>
      <c r="B12" s="2" t="s">
        <v>8</v>
      </c>
      <c r="C12" s="2">
        <f>C5*C$11</f>
        <v>6642.9863013698632</v>
      </c>
    </row>
    <row r="13" spans="1:8" x14ac:dyDescent="0.3">
      <c r="A13" s="7">
        <v>13</v>
      </c>
      <c r="B13" s="2" t="s">
        <v>9</v>
      </c>
      <c r="C13" s="2">
        <f>C6*C$11</f>
        <v>2694.1</v>
      </c>
      <c r="G13" s="12">
        <f>G10/(1-G10)</f>
        <v>0.11111111111111112</v>
      </c>
      <c r="H13" s="7" t="s">
        <v>23</v>
      </c>
    </row>
    <row r="14" spans="1:8" x14ac:dyDescent="0.3">
      <c r="A14" s="6">
        <v>14</v>
      </c>
      <c r="B14" s="2" t="s">
        <v>10</v>
      </c>
      <c r="C14" s="2">
        <f>C7*C$11</f>
        <v>184.52739726027397</v>
      </c>
      <c r="G14" s="12">
        <f>G11/(1-G11)</f>
        <v>0.11111111111111112</v>
      </c>
      <c r="H14" s="7" t="s">
        <v>24</v>
      </c>
    </row>
    <row r="15" spans="1:8" x14ac:dyDescent="0.3">
      <c r="A15" s="7">
        <v>15</v>
      </c>
      <c r="B15" s="2" t="s">
        <v>11</v>
      </c>
      <c r="C15" s="2">
        <f>C8*C$11</f>
        <v>442.86575342465756</v>
      </c>
    </row>
    <row r="16" spans="1:8" x14ac:dyDescent="0.3">
      <c r="A16" s="6">
        <v>16</v>
      </c>
      <c r="B16" s="2" t="s">
        <v>20</v>
      </c>
      <c r="C16" s="2">
        <f>C1+C3+C12+C13+C14+C15</f>
        <v>36905.479452054795</v>
      </c>
    </row>
    <row r="17" spans="1:3" x14ac:dyDescent="0.3">
      <c r="A17" s="6"/>
    </row>
    <row r="18" spans="1:3" x14ac:dyDescent="0.3">
      <c r="A18" s="6"/>
      <c r="B18" s="7" t="s">
        <v>17</v>
      </c>
      <c r="C18" s="2">
        <f>C16-C1</f>
        <v>11905.479452054795</v>
      </c>
    </row>
    <row r="19" spans="1:3" x14ac:dyDescent="0.3">
      <c r="A19" s="6"/>
      <c r="B19" s="7" t="s">
        <v>18</v>
      </c>
      <c r="C19" s="13">
        <f>C18/C16</f>
        <v>0.32259381611669946</v>
      </c>
    </row>
    <row r="20" spans="1:3" x14ac:dyDescent="0.3">
      <c r="A20" s="6"/>
      <c r="B20" s="7" t="s">
        <v>19</v>
      </c>
      <c r="C20" s="13">
        <f>C19*100/(100-C19*100)</f>
        <v>0.47621917808219172</v>
      </c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u03xJNEL92qwkd7MtfjcOHqQksHSYl+Dri2Uo7IjdeuziK0Pwg9HemrDOj2Idy3TtV8ZFue3Il7E0dSLfR1vOQ==" saltValue="gz5B3kIHhJ8yuDtx2jdaJg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24" zoomScaleNormal="130" workbookViewId="0">
      <selection activeCell="C3" sqref="C3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29739</v>
      </c>
      <c r="G1" s="19">
        <v>49397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23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4">
        <f>G1*G2</f>
        <v>24698.5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23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4">
        <f>G3*G4</f>
        <v>24698.5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5590.9319999999998</v>
      </c>
      <c r="G6" s="25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2230.4249999999997</v>
      </c>
      <c r="G7" s="24">
        <f>G6*G1</f>
        <v>790352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148.69499999999999</v>
      </c>
      <c r="G8" s="26">
        <v>9038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356.86799999999999</v>
      </c>
      <c r="G9" s="24">
        <f>G8*G4</f>
        <v>9038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21412.080000000002</v>
      </c>
      <c r="G10" s="2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12374.080000000002</v>
      </c>
      <c r="G11" s="2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1237.4080000000004</v>
      </c>
    </row>
    <row r="13" spans="1:8" x14ac:dyDescent="0.3">
      <c r="A13" s="7">
        <v>13</v>
      </c>
      <c r="B13" s="2" t="s">
        <v>0</v>
      </c>
      <c r="C13" s="2">
        <f>IF(C1-C16&gt;0,C1-C16,1)</f>
        <v>20174.671999999999</v>
      </c>
      <c r="G13" s="29">
        <f>G10/(1-G10)</f>
        <v>0.11111111111111112</v>
      </c>
      <c r="H13" s="7" t="s">
        <v>32</v>
      </c>
    </row>
    <row r="14" spans="1:8" x14ac:dyDescent="0.3">
      <c r="A14" s="6"/>
      <c r="G14" s="29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9564.3280000000013</v>
      </c>
    </row>
    <row r="17" spans="1:3" x14ac:dyDescent="0.3">
      <c r="A17" s="6"/>
      <c r="B17" s="7" t="s">
        <v>18</v>
      </c>
      <c r="C17" s="13">
        <f>C16/C1</f>
        <v>0.32160893103332328</v>
      </c>
    </row>
    <row r="18" spans="1:3" x14ac:dyDescent="0.3">
      <c r="A18" s="6"/>
      <c r="B18" s="7" t="s">
        <v>19</v>
      </c>
      <c r="C18" s="13">
        <f>C17*100/(100-C17*100)</f>
        <v>0.47407600976115011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2HvuyvZ4OVCV2OajgQxNnsbMeNP855Nkysci+UhUQAwjH9OgwvuVeH1aUkTkY3RCaLjPKN7yyrkZTSgUwxZGbA==" saltValue="tAMr6AtiUzKx+Dqfo1VO9Q==" spinCount="100000" sheet="1" objects="1" scenario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selection activeCell="I30" sqref="I30:J30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6.109375" style="7" customWidth="1"/>
    <col min="8" max="8" width="18.77734375" style="7" customWidth="1"/>
    <col min="9" max="16384" width="8.88671875" style="7"/>
  </cols>
  <sheetData>
    <row r="1" spans="1:13" x14ac:dyDescent="0.3">
      <c r="A1" s="100">
        <v>1</v>
      </c>
      <c r="B1" s="101" t="s">
        <v>0</v>
      </c>
      <c r="C1" s="102">
        <f>ROUND(I29*(H24/H27),0)+I30</f>
        <v>65000</v>
      </c>
      <c r="G1" s="19">
        <v>57609</v>
      </c>
      <c r="H1" s="18" t="s">
        <v>34</v>
      </c>
    </row>
    <row r="2" spans="1:13" x14ac:dyDescent="0.3">
      <c r="A2" s="106">
        <v>2</v>
      </c>
      <c r="B2" s="107" t="s">
        <v>60</v>
      </c>
      <c r="C2" s="108">
        <f>ROUND(IF(C1-G9&gt;0,C1-G9,0),0)</f>
        <v>55460</v>
      </c>
      <c r="G2" s="9">
        <v>0.5</v>
      </c>
    </row>
    <row r="3" spans="1:13" x14ac:dyDescent="0.3">
      <c r="A3" s="106">
        <v>3</v>
      </c>
      <c r="B3" s="79" t="s">
        <v>30</v>
      </c>
      <c r="C3" s="108">
        <f>ROUND(IF(C2&lt;81000,C2*G13,(C2-81000)*G14+81000*G13),0)</f>
        <v>6162</v>
      </c>
      <c r="G3" s="2">
        <f>G1*G2</f>
        <v>28804.5</v>
      </c>
      <c r="H3" s="7" t="s">
        <v>13</v>
      </c>
    </row>
    <row r="4" spans="1:13" x14ac:dyDescent="0.3">
      <c r="A4" s="109">
        <v>4</v>
      </c>
      <c r="B4" s="110" t="s">
        <v>39</v>
      </c>
      <c r="C4" s="111">
        <f>C1+C3</f>
        <v>71162</v>
      </c>
      <c r="G4" s="23">
        <v>1</v>
      </c>
      <c r="H4" s="7" t="s">
        <v>12</v>
      </c>
    </row>
    <row r="5" spans="1:13" x14ac:dyDescent="0.3">
      <c r="A5" s="73">
        <v>5</v>
      </c>
      <c r="B5" s="71" t="s">
        <v>1</v>
      </c>
      <c r="C5" s="99">
        <v>0.188</v>
      </c>
      <c r="G5" s="2">
        <f>G3*G4</f>
        <v>28804.5</v>
      </c>
      <c r="H5" s="7" t="s">
        <v>14</v>
      </c>
    </row>
    <row r="6" spans="1:13" x14ac:dyDescent="0.3">
      <c r="A6" s="70">
        <v>6</v>
      </c>
      <c r="B6" s="71" t="s">
        <v>2</v>
      </c>
      <c r="C6" s="99">
        <v>7.4999999999999997E-2</v>
      </c>
      <c r="G6" s="11">
        <v>16</v>
      </c>
    </row>
    <row r="7" spans="1:13" x14ac:dyDescent="0.3">
      <c r="A7" s="73">
        <v>7</v>
      </c>
      <c r="B7" s="71" t="s">
        <v>3</v>
      </c>
      <c r="C7" s="99">
        <v>5.0000000000000001E-3</v>
      </c>
      <c r="G7" s="2">
        <f>G6*G1</f>
        <v>921744</v>
      </c>
      <c r="H7" s="7" t="s">
        <v>16</v>
      </c>
    </row>
    <row r="8" spans="1:13" x14ac:dyDescent="0.3">
      <c r="A8" s="70">
        <v>8</v>
      </c>
      <c r="B8" s="71" t="s">
        <v>4</v>
      </c>
      <c r="C8" s="99">
        <v>1.2E-2</v>
      </c>
      <c r="G8" s="20">
        <v>9540</v>
      </c>
      <c r="H8" s="30" t="s">
        <v>44</v>
      </c>
    </row>
    <row r="9" spans="1:13" x14ac:dyDescent="0.3">
      <c r="A9" s="112">
        <v>9</v>
      </c>
      <c r="B9" s="113" t="s">
        <v>5</v>
      </c>
      <c r="C9" s="115">
        <f>(C5+C6+C7+C8)*100</f>
        <v>28.000000000000004</v>
      </c>
      <c r="G9" s="2">
        <f>G8*G4*H24/H27</f>
        <v>9540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3" x14ac:dyDescent="0.3">
      <c r="A10" s="114">
        <v>10</v>
      </c>
      <c r="B10" s="113" t="s">
        <v>6</v>
      </c>
      <c r="C10" s="116">
        <f>ROUND(100/(100-C9),10)</f>
        <v>1.3888888889</v>
      </c>
      <c r="G10" s="9">
        <v>0.1</v>
      </c>
      <c r="H10" s="7" t="s">
        <v>25</v>
      </c>
    </row>
    <row r="11" spans="1:13" x14ac:dyDescent="0.3">
      <c r="A11" s="117">
        <v>11</v>
      </c>
      <c r="B11" s="105" t="s">
        <v>7</v>
      </c>
      <c r="C11" s="93">
        <f>ROUND(IF(C4*C10&lt;G5,G5,IF(C4*C10&gt;G7,G7,C4*C10)),0)</f>
        <v>98836</v>
      </c>
      <c r="G11" s="9">
        <v>0.1</v>
      </c>
      <c r="H11" s="7" t="s">
        <v>26</v>
      </c>
    </row>
    <row r="12" spans="1:13" x14ac:dyDescent="0.3">
      <c r="A12" s="70">
        <v>12</v>
      </c>
      <c r="B12" s="71" t="s">
        <v>8</v>
      </c>
      <c r="C12" s="72">
        <f>ROUND(C5*C$11,0)</f>
        <v>18581</v>
      </c>
    </row>
    <row r="13" spans="1:13" x14ac:dyDescent="0.3">
      <c r="A13" s="73">
        <v>13</v>
      </c>
      <c r="B13" s="71" t="s">
        <v>9</v>
      </c>
      <c r="C13" s="72">
        <f>ROUND(C6*C$11,0)</f>
        <v>7413</v>
      </c>
      <c r="G13" s="12">
        <f>G10/(1-G10)</f>
        <v>0.11111111111111112</v>
      </c>
      <c r="H13" s="7" t="s">
        <v>32</v>
      </c>
    </row>
    <row r="14" spans="1:13" x14ac:dyDescent="0.3">
      <c r="A14" s="70">
        <v>14</v>
      </c>
      <c r="B14" s="71" t="s">
        <v>10</v>
      </c>
      <c r="C14" s="72">
        <f>ROUND(C7*C$11,0)</f>
        <v>494</v>
      </c>
      <c r="G14" s="12">
        <f>G11/(1-G11)</f>
        <v>0.11111111111111112</v>
      </c>
      <c r="H14" s="7" t="s">
        <v>33</v>
      </c>
    </row>
    <row r="15" spans="1:13" x14ac:dyDescent="0.3">
      <c r="A15" s="73">
        <v>15</v>
      </c>
      <c r="B15" s="71" t="s">
        <v>11</v>
      </c>
      <c r="C15" s="72">
        <f>ROUND(C8*C$11,0)</f>
        <v>1186</v>
      </c>
      <c r="G15" s="12"/>
    </row>
    <row r="16" spans="1:13" x14ac:dyDescent="0.3">
      <c r="A16" s="91">
        <v>16</v>
      </c>
      <c r="B16" s="105" t="s">
        <v>20</v>
      </c>
      <c r="C16" s="93">
        <f>C1+C3+C12+C13+C14+C15</f>
        <v>98836</v>
      </c>
      <c r="G16" s="98">
        <v>22567</v>
      </c>
      <c r="H16" s="58" t="s">
        <v>59</v>
      </c>
      <c r="I16" s="58"/>
      <c r="J16" s="58"/>
      <c r="K16" s="58"/>
      <c r="L16" s="58"/>
      <c r="M16" s="58"/>
    </row>
    <row r="17" spans="1:10" x14ac:dyDescent="0.3">
      <c r="A17" s="61"/>
      <c r="B17" s="59"/>
      <c r="C17" s="62"/>
    </row>
    <row r="18" spans="1:10" x14ac:dyDescent="0.3">
      <c r="A18" s="103"/>
      <c r="B18" s="118" t="s">
        <v>17</v>
      </c>
      <c r="C18" s="104">
        <f>C16-C1</f>
        <v>33836</v>
      </c>
      <c r="G18" s="39" t="s">
        <v>45</v>
      </c>
      <c r="H18" s="40">
        <v>45292</v>
      </c>
      <c r="I18" s="31" t="s">
        <v>48</v>
      </c>
    </row>
    <row r="19" spans="1:10" x14ac:dyDescent="0.3">
      <c r="A19" s="103"/>
      <c r="B19" s="118" t="s">
        <v>18</v>
      </c>
      <c r="C19" s="119">
        <f>C18/C16</f>
        <v>0.34234489457282774</v>
      </c>
      <c r="G19" s="36"/>
      <c r="H19" s="40">
        <v>45322</v>
      </c>
    </row>
    <row r="20" spans="1:10" ht="15" thickBot="1" x14ac:dyDescent="0.35">
      <c r="A20" s="120"/>
      <c r="B20" s="121" t="s">
        <v>19</v>
      </c>
      <c r="C20" s="122">
        <f>IFERROR(C19*100/(100-C19*100),0)</f>
        <v>0.52055384615384626</v>
      </c>
      <c r="G20" s="38" t="s">
        <v>52</v>
      </c>
      <c r="H20" s="11">
        <f>MONTH(H18)</f>
        <v>1</v>
      </c>
    </row>
    <row r="21" spans="1:10" x14ac:dyDescent="0.3">
      <c r="C21" s="14"/>
      <c r="G21" s="11"/>
      <c r="H21" s="11"/>
    </row>
    <row r="22" spans="1:10" x14ac:dyDescent="0.3">
      <c r="C22" s="14"/>
      <c r="G22" s="38" t="s">
        <v>50</v>
      </c>
      <c r="H22" s="11"/>
    </row>
    <row r="23" spans="1:10" x14ac:dyDescent="0.3">
      <c r="C23" s="14"/>
      <c r="G23" s="11" t="s">
        <v>46</v>
      </c>
      <c r="H23" s="11">
        <f>NETWORKDAYS(H18,H19)</f>
        <v>23</v>
      </c>
    </row>
    <row r="24" spans="1:10" x14ac:dyDescent="0.3">
      <c r="G24" s="11" t="s">
        <v>47</v>
      </c>
      <c r="H24" s="11">
        <f>H23*8*G4</f>
        <v>184</v>
      </c>
    </row>
    <row r="25" spans="1:10" x14ac:dyDescent="0.3">
      <c r="G25" s="37" t="s">
        <v>51</v>
      </c>
      <c r="H25" s="32"/>
    </row>
    <row r="26" spans="1:10" x14ac:dyDescent="0.3">
      <c r="G26" s="32" t="s">
        <v>46</v>
      </c>
      <c r="H26" s="32">
        <f>H27/8</f>
        <v>23</v>
      </c>
    </row>
    <row r="27" spans="1:10" x14ac:dyDescent="0.3">
      <c r="G27" s="32" t="s">
        <v>47</v>
      </c>
      <c r="H27" s="32">
        <f>VLOOKUP(H20,G35:H46,2,FALSE)*G4</f>
        <v>184</v>
      </c>
    </row>
    <row r="29" spans="1:10" x14ac:dyDescent="0.3">
      <c r="G29" s="44" t="s">
        <v>55</v>
      </c>
      <c r="H29" s="45"/>
      <c r="I29" s="124">
        <v>65000</v>
      </c>
      <c r="J29" s="125"/>
    </row>
    <row r="30" spans="1:10" x14ac:dyDescent="0.3">
      <c r="G30" s="41" t="s">
        <v>54</v>
      </c>
      <c r="H30" s="43"/>
      <c r="I30" s="124"/>
      <c r="J30" s="125"/>
    </row>
    <row r="32" spans="1:10" x14ac:dyDescent="0.3">
      <c r="G32" s="46" t="s">
        <v>49</v>
      </c>
      <c r="H32" s="47"/>
      <c r="I32" s="126">
        <f>I29+I30</f>
        <v>65000</v>
      </c>
      <c r="J32" s="127"/>
    </row>
    <row r="33" spans="7:10" x14ac:dyDescent="0.3">
      <c r="G33" s="35"/>
      <c r="H33" s="33"/>
    </row>
    <row r="34" spans="7:10" x14ac:dyDescent="0.3">
      <c r="G34" s="46" t="s">
        <v>62</v>
      </c>
      <c r="H34" s="50"/>
      <c r="I34" s="50"/>
      <c r="J34" s="47"/>
    </row>
    <row r="35" spans="7:10" x14ac:dyDescent="0.3">
      <c r="G35" s="53">
        <v>1</v>
      </c>
      <c r="H35" s="54">
        <v>184</v>
      </c>
      <c r="I35" s="49"/>
      <c r="J35" s="45"/>
    </row>
    <row r="36" spans="7:10" x14ac:dyDescent="0.3">
      <c r="G36" s="53">
        <v>2</v>
      </c>
      <c r="H36" s="54">
        <v>168</v>
      </c>
      <c r="I36" s="49"/>
      <c r="J36" s="45"/>
    </row>
    <row r="37" spans="7:10" x14ac:dyDescent="0.3">
      <c r="G37" s="53">
        <v>3</v>
      </c>
      <c r="H37" s="54">
        <v>168</v>
      </c>
      <c r="I37" s="49"/>
      <c r="J37" s="45"/>
    </row>
    <row r="38" spans="7:10" x14ac:dyDescent="0.3">
      <c r="G38" s="53">
        <v>4</v>
      </c>
      <c r="H38" s="54">
        <v>176</v>
      </c>
      <c r="I38" s="49"/>
      <c r="J38" s="45"/>
    </row>
    <row r="39" spans="7:10" x14ac:dyDescent="0.3">
      <c r="G39" s="53">
        <v>5</v>
      </c>
      <c r="H39" s="54">
        <v>184</v>
      </c>
      <c r="I39" s="49"/>
      <c r="J39" s="45"/>
    </row>
    <row r="40" spans="7:10" x14ac:dyDescent="0.3">
      <c r="G40" s="53">
        <v>6</v>
      </c>
      <c r="H40" s="54">
        <v>160</v>
      </c>
      <c r="I40" s="49"/>
      <c r="J40" s="45"/>
    </row>
    <row r="41" spans="7:10" x14ac:dyDescent="0.3">
      <c r="G41" s="53">
        <v>7</v>
      </c>
      <c r="H41" s="54">
        <v>184</v>
      </c>
      <c r="I41" s="49"/>
      <c r="J41" s="45"/>
    </row>
    <row r="42" spans="7:10" x14ac:dyDescent="0.3">
      <c r="G42" s="53">
        <v>8</v>
      </c>
      <c r="H42" s="54">
        <v>176</v>
      </c>
      <c r="I42" s="49"/>
      <c r="J42" s="45"/>
    </row>
    <row r="43" spans="7:10" x14ac:dyDescent="0.3">
      <c r="G43" s="53">
        <v>9</v>
      </c>
      <c r="H43" s="54">
        <v>168</v>
      </c>
      <c r="I43" s="49"/>
      <c r="J43" s="45"/>
    </row>
    <row r="44" spans="7:10" x14ac:dyDescent="0.3">
      <c r="G44" s="55">
        <v>10</v>
      </c>
      <c r="H44" s="56">
        <v>184</v>
      </c>
      <c r="I44" s="49"/>
      <c r="J44" s="45"/>
    </row>
    <row r="45" spans="7:10" x14ac:dyDescent="0.3">
      <c r="G45" s="55">
        <v>11</v>
      </c>
      <c r="H45" s="56">
        <v>168</v>
      </c>
      <c r="I45" s="49"/>
      <c r="J45" s="45"/>
    </row>
    <row r="46" spans="7:10" x14ac:dyDescent="0.3">
      <c r="G46" s="51">
        <v>12</v>
      </c>
      <c r="H46" s="52">
        <v>176</v>
      </c>
      <c r="I46" s="42"/>
      <c r="J46" s="43"/>
    </row>
    <row r="47" spans="7:10" x14ac:dyDescent="0.3">
      <c r="G47" s="48"/>
      <c r="H47" s="48"/>
    </row>
  </sheetData>
  <sheetProtection password="CF5F" sheet="1" objects="1" scenarios="1"/>
  <mergeCells count="3">
    <mergeCell ref="I29:J29"/>
    <mergeCell ref="I30:J30"/>
    <mergeCell ref="I32:J32"/>
  </mergeCells>
  <conditionalFormatting sqref="H23:H24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124" zoomScaleNormal="130" workbookViewId="0">
      <selection activeCell="F5" sqref="F5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14" x14ac:dyDescent="0.3">
      <c r="A1" s="88">
        <v>1</v>
      </c>
      <c r="B1" s="89" t="s">
        <v>15</v>
      </c>
      <c r="C1" s="90">
        <f>33352+2685</f>
        <v>36037</v>
      </c>
      <c r="G1" s="19">
        <v>57609</v>
      </c>
      <c r="H1" s="18" t="s">
        <v>34</v>
      </c>
    </row>
    <row r="2" spans="1:14" x14ac:dyDescent="0.3">
      <c r="A2" s="66">
        <v>2</v>
      </c>
      <c r="B2" s="67" t="s">
        <v>1</v>
      </c>
      <c r="C2" s="68">
        <v>0.188</v>
      </c>
      <c r="G2" s="23">
        <v>0.5</v>
      </c>
    </row>
    <row r="3" spans="1:14" x14ac:dyDescent="0.3">
      <c r="A3" s="66">
        <v>3</v>
      </c>
      <c r="B3" s="67" t="s">
        <v>2</v>
      </c>
      <c r="C3" s="68">
        <v>7.4999999999999997E-2</v>
      </c>
      <c r="G3" s="24">
        <f>G1*G2</f>
        <v>28804.5</v>
      </c>
      <c r="H3" s="7" t="s">
        <v>13</v>
      </c>
    </row>
    <row r="4" spans="1:14" x14ac:dyDescent="0.3">
      <c r="A4" s="69">
        <v>4</v>
      </c>
      <c r="B4" s="67" t="s">
        <v>3</v>
      </c>
      <c r="C4" s="68">
        <v>5.0000000000000001E-3</v>
      </c>
      <c r="G4" s="23">
        <v>1</v>
      </c>
      <c r="H4" s="7" t="s">
        <v>12</v>
      </c>
    </row>
    <row r="5" spans="1:14" x14ac:dyDescent="0.3">
      <c r="A5" s="66">
        <v>5</v>
      </c>
      <c r="B5" s="67" t="s">
        <v>4</v>
      </c>
      <c r="C5" s="68">
        <v>1.2E-2</v>
      </c>
      <c r="G5" s="24">
        <f>G3*G4</f>
        <v>28804.5</v>
      </c>
      <c r="H5" s="7" t="s">
        <v>14</v>
      </c>
    </row>
    <row r="6" spans="1:14" x14ac:dyDescent="0.3">
      <c r="A6" s="74">
        <v>6</v>
      </c>
      <c r="B6" s="75" t="s">
        <v>35</v>
      </c>
      <c r="C6" s="76">
        <f>ROUND(IF($C$1&lt;$G$3,$G$3*C2,IF($C$1&gt;$G$7,$G$7*C2,$C$1*C2)),0)</f>
        <v>6775</v>
      </c>
      <c r="G6" s="25">
        <v>16</v>
      </c>
    </row>
    <row r="7" spans="1:14" x14ac:dyDescent="0.3">
      <c r="A7" s="77">
        <v>7</v>
      </c>
      <c r="B7" s="75" t="s">
        <v>36</v>
      </c>
      <c r="C7" s="76">
        <f>ROUND(IF($C$1&lt;$G$3,$G$3*C3,IF($C$1&gt;$G$7,$G$7*C3,$C$1*C3)),0)</f>
        <v>2703</v>
      </c>
      <c r="G7" s="24">
        <f>G6*G1</f>
        <v>921744</v>
      </c>
      <c r="H7" s="7" t="s">
        <v>16</v>
      </c>
    </row>
    <row r="8" spans="1:14" x14ac:dyDescent="0.3">
      <c r="A8" s="74">
        <v>8</v>
      </c>
      <c r="B8" s="75" t="s">
        <v>37</v>
      </c>
      <c r="C8" s="76">
        <f>ROUND(IF($C$1&lt;$G$3,$G$3*C4,IF($C$1&gt;$G$7,$G$7*C4,$C$1*C4)),0)</f>
        <v>180</v>
      </c>
      <c r="G8" s="26">
        <v>9540</v>
      </c>
      <c r="H8" s="7" t="s">
        <v>22</v>
      </c>
    </row>
    <row r="9" spans="1:14" x14ac:dyDescent="0.3">
      <c r="A9" s="77">
        <v>9</v>
      </c>
      <c r="B9" s="75" t="s">
        <v>38</v>
      </c>
      <c r="C9" s="76">
        <f>ROUND(IF($C$1&lt;$G$3,$G$3*C5,IF($C$1&gt;$G$7,$G$7*C5,$C$1*C5)),0)</f>
        <v>432</v>
      </c>
      <c r="G9" s="24">
        <f>G8*G4</f>
        <v>9540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4" x14ac:dyDescent="0.3">
      <c r="A10" s="78">
        <v>10</v>
      </c>
      <c r="B10" s="79" t="s">
        <v>29</v>
      </c>
      <c r="C10" s="80">
        <f>ROUND(IF((C1-C6-C7-C8-C9)&gt;(C6+C7+C8+C9),C1-C6-C7-C8-C9,C6+C7+C8+C9),0)</f>
        <v>25947</v>
      </c>
      <c r="G10" s="27">
        <v>0.1</v>
      </c>
      <c r="H10" s="7" t="s">
        <v>25</v>
      </c>
    </row>
    <row r="11" spans="1:14" x14ac:dyDescent="0.3">
      <c r="A11" s="81">
        <v>11</v>
      </c>
      <c r="B11" s="82" t="s">
        <v>61</v>
      </c>
      <c r="C11" s="83">
        <f>ROUND(IF(C10-G9&gt;0,C10-G9,0),0)</f>
        <v>16407</v>
      </c>
      <c r="G11" s="27">
        <v>0.1</v>
      </c>
      <c r="H11" s="7" t="s">
        <v>26</v>
      </c>
    </row>
    <row r="12" spans="1:14" x14ac:dyDescent="0.3">
      <c r="A12" s="84">
        <v>12</v>
      </c>
      <c r="B12" s="82" t="s">
        <v>40</v>
      </c>
      <c r="C12" s="83">
        <f>ROUND(IF(C11&lt;90000,C11*G10,90000*G10+(C11-90000)*G11),0)</f>
        <v>1641</v>
      </c>
    </row>
    <row r="13" spans="1:14" ht="15" thickBot="1" x14ac:dyDescent="0.35">
      <c r="A13" s="85">
        <v>13</v>
      </c>
      <c r="B13" s="86" t="s">
        <v>0</v>
      </c>
      <c r="C13" s="87">
        <f>ROUND(IF(C1-C16&gt;0,C1-C16,1),0)</f>
        <v>24306</v>
      </c>
      <c r="G13" s="29">
        <f>G10/(1-G10)</f>
        <v>0.11111111111111112</v>
      </c>
      <c r="H13" s="7" t="s">
        <v>32</v>
      </c>
    </row>
    <row r="14" spans="1:14" x14ac:dyDescent="0.3">
      <c r="A14" s="63"/>
      <c r="B14" s="64"/>
      <c r="C14" s="65"/>
      <c r="G14" s="29">
        <f>G11/(1-G11)</f>
        <v>0.11111111111111112</v>
      </c>
      <c r="H14" s="7" t="s">
        <v>33</v>
      </c>
    </row>
    <row r="15" spans="1:14" x14ac:dyDescent="0.3">
      <c r="A15" s="60"/>
      <c r="B15" s="59"/>
      <c r="C15" s="62"/>
    </row>
    <row r="16" spans="1:14" x14ac:dyDescent="0.3">
      <c r="A16" s="91"/>
      <c r="B16" s="92" t="s">
        <v>17</v>
      </c>
      <c r="C16" s="93">
        <f>C6+C7+C8+C9+C12</f>
        <v>11731</v>
      </c>
      <c r="G16" s="57">
        <v>33352</v>
      </c>
      <c r="H16" s="58" t="s">
        <v>58</v>
      </c>
      <c r="I16" s="58"/>
      <c r="J16" s="58"/>
      <c r="K16" s="58"/>
      <c r="L16" s="58"/>
      <c r="M16" s="58"/>
      <c r="N16" s="58"/>
    </row>
    <row r="17" spans="1:3" x14ac:dyDescent="0.3">
      <c r="A17" s="91"/>
      <c r="B17" s="92" t="s">
        <v>18</v>
      </c>
      <c r="C17" s="94">
        <f>C16/C1</f>
        <v>0.3255265421649971</v>
      </c>
    </row>
    <row r="18" spans="1:3" ht="15" thickBot="1" x14ac:dyDescent="0.35">
      <c r="A18" s="95"/>
      <c r="B18" s="96" t="s">
        <v>19</v>
      </c>
      <c r="C18" s="97">
        <f>C17*100/(100-C17*100)</f>
        <v>0.48263803176170506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C1" zoomScale="124" zoomScaleNormal="130" workbookViewId="0">
      <selection activeCell="H17" sqref="H17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44140625" style="7" customWidth="1"/>
    <col min="4" max="6" width="8.88671875" style="7"/>
    <col min="7" max="7" width="14.44140625" style="28" customWidth="1"/>
    <col min="8" max="16384" width="8.88671875" style="7"/>
  </cols>
  <sheetData>
    <row r="1" spans="1:14" x14ac:dyDescent="0.3">
      <c r="A1" s="88">
        <v>1</v>
      </c>
      <c r="B1" s="89" t="s">
        <v>15</v>
      </c>
      <c r="C1" s="90">
        <f>33352+2685</f>
        <v>36037</v>
      </c>
      <c r="G1" s="19">
        <v>63154</v>
      </c>
      <c r="H1" s="18" t="s">
        <v>34</v>
      </c>
    </row>
    <row r="2" spans="1:14" x14ac:dyDescent="0.3">
      <c r="A2" s="66">
        <v>2</v>
      </c>
      <c r="B2" s="67" t="s">
        <v>1</v>
      </c>
      <c r="C2" s="68">
        <v>0.188</v>
      </c>
      <c r="G2" s="23">
        <v>0.5</v>
      </c>
    </row>
    <row r="3" spans="1:14" x14ac:dyDescent="0.3">
      <c r="A3" s="66">
        <v>3</v>
      </c>
      <c r="B3" s="67" t="s">
        <v>2</v>
      </c>
      <c r="C3" s="68">
        <v>7.4999999999999997E-2</v>
      </c>
      <c r="G3" s="24">
        <f>G1*G2</f>
        <v>31577</v>
      </c>
      <c r="H3" s="7" t="s">
        <v>13</v>
      </c>
    </row>
    <row r="4" spans="1:14" x14ac:dyDescent="0.3">
      <c r="A4" s="69">
        <v>4</v>
      </c>
      <c r="B4" s="67" t="s">
        <v>3</v>
      </c>
      <c r="C4" s="68">
        <v>5.0000000000000001E-3</v>
      </c>
      <c r="G4" s="23">
        <v>1</v>
      </c>
      <c r="H4" s="7" t="s">
        <v>12</v>
      </c>
    </row>
    <row r="5" spans="1:14" x14ac:dyDescent="0.3">
      <c r="A5" s="66">
        <v>5</v>
      </c>
      <c r="B5" s="67" t="s">
        <v>4</v>
      </c>
      <c r="C5" s="68">
        <v>1.2E-2</v>
      </c>
      <c r="G5" s="24">
        <f>G3*G4</f>
        <v>31577</v>
      </c>
      <c r="H5" s="7" t="s">
        <v>14</v>
      </c>
    </row>
    <row r="6" spans="1:14" x14ac:dyDescent="0.3">
      <c r="A6" s="74">
        <v>6</v>
      </c>
      <c r="B6" s="75" t="s">
        <v>35</v>
      </c>
      <c r="C6" s="76">
        <f>ROUND(IF($C$1&lt;$G$3,$G$3*C2,IF($C$1&gt;$G$7,$G$7*C2,$C$1*C2)),0)</f>
        <v>6775</v>
      </c>
      <c r="G6" s="25">
        <v>16</v>
      </c>
    </row>
    <row r="7" spans="1:14" x14ac:dyDescent="0.3">
      <c r="A7" s="77">
        <v>7</v>
      </c>
      <c r="B7" s="75" t="s">
        <v>36</v>
      </c>
      <c r="C7" s="76">
        <f>ROUND(IF($C$1&lt;$G$3,$G$3*C3,IF($C$1&gt;$G$7,$G$7*C3,$C$1*C3)),0)</f>
        <v>2703</v>
      </c>
      <c r="G7" s="24">
        <f>G6*G1</f>
        <v>1010464</v>
      </c>
      <c r="H7" s="7" t="s">
        <v>16</v>
      </c>
    </row>
    <row r="8" spans="1:14" x14ac:dyDescent="0.3">
      <c r="A8" s="74">
        <v>8</v>
      </c>
      <c r="B8" s="75" t="s">
        <v>37</v>
      </c>
      <c r="C8" s="76">
        <f>ROUND(IF($C$1&lt;$G$3,$G$3*C4,IF($C$1&gt;$G$7,$G$7*C4,$C$1*C4)),0)</f>
        <v>180</v>
      </c>
      <c r="G8" s="26">
        <v>10270</v>
      </c>
      <c r="H8" s="7" t="s">
        <v>22</v>
      </c>
    </row>
    <row r="9" spans="1:14" x14ac:dyDescent="0.3">
      <c r="A9" s="77">
        <v>9</v>
      </c>
      <c r="B9" s="75" t="s">
        <v>38</v>
      </c>
      <c r="C9" s="76">
        <f>ROUND(IF($C$1&lt;$G$3,$G$3*C5,IF($C$1&gt;$G$7,$G$7*C5,$C$1*C5)),0)</f>
        <v>432</v>
      </c>
      <c r="G9" s="24">
        <f>G8*G4</f>
        <v>10270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4" x14ac:dyDescent="0.3">
      <c r="A10" s="78">
        <v>10</v>
      </c>
      <c r="B10" s="79" t="s">
        <v>29</v>
      </c>
      <c r="C10" s="80">
        <f>ROUND(IF((C1-C6-C7-C8-C9)&gt;(C6+C7+C8+C9),C1-C6-C7-C8-C9,C6+C7+C8+C9),0)</f>
        <v>25947</v>
      </c>
      <c r="G10" s="27">
        <v>0.1</v>
      </c>
      <c r="H10" s="7" t="s">
        <v>25</v>
      </c>
    </row>
    <row r="11" spans="1:14" x14ac:dyDescent="0.3">
      <c r="A11" s="81">
        <v>11</v>
      </c>
      <c r="B11" s="82" t="s">
        <v>61</v>
      </c>
      <c r="C11" s="83">
        <f>ROUND(IF(C10-G9&gt;0,C10-G9,0),0)</f>
        <v>15677</v>
      </c>
      <c r="G11" s="27">
        <v>0.1</v>
      </c>
      <c r="H11" s="7" t="s">
        <v>26</v>
      </c>
    </row>
    <row r="12" spans="1:14" x14ac:dyDescent="0.3">
      <c r="A12" s="84">
        <v>12</v>
      </c>
      <c r="B12" s="82" t="s">
        <v>40</v>
      </c>
      <c r="C12" s="83">
        <f>ROUND(IF(C11&lt;90000,C11*G10,90000*G10+(C11-90000)*G11),0)</f>
        <v>1568</v>
      </c>
    </row>
    <row r="13" spans="1:14" ht="15" thickBot="1" x14ac:dyDescent="0.35">
      <c r="A13" s="85">
        <v>13</v>
      </c>
      <c r="B13" s="86" t="s">
        <v>0</v>
      </c>
      <c r="C13" s="87">
        <f>ROUND(IF(C1-C16&gt;0,C1-C16,1),0)</f>
        <v>24379</v>
      </c>
      <c r="G13" s="29">
        <f>G10/(1-G10)</f>
        <v>0.11111111111111112</v>
      </c>
      <c r="H13" s="7" t="s">
        <v>32</v>
      </c>
    </row>
    <row r="14" spans="1:14" x14ac:dyDescent="0.3">
      <c r="A14" s="63"/>
      <c r="B14" s="64"/>
      <c r="C14" s="65"/>
      <c r="G14" s="29">
        <f>G11/(1-G11)</f>
        <v>0.11111111111111112</v>
      </c>
      <c r="H14" s="7" t="s">
        <v>33</v>
      </c>
    </row>
    <row r="15" spans="1:14" x14ac:dyDescent="0.3">
      <c r="A15" s="60"/>
      <c r="B15" s="59"/>
      <c r="C15" s="62"/>
    </row>
    <row r="16" spans="1:14" x14ac:dyDescent="0.3">
      <c r="A16" s="91"/>
      <c r="B16" s="92" t="s">
        <v>17</v>
      </c>
      <c r="C16" s="93">
        <f>C6+C7+C8+C9+C12</f>
        <v>11658</v>
      </c>
      <c r="G16" s="57">
        <v>36037</v>
      </c>
      <c r="H16" s="58" t="s">
        <v>75</v>
      </c>
      <c r="I16" s="58"/>
      <c r="J16" s="58"/>
      <c r="K16" s="58"/>
      <c r="L16" s="58"/>
      <c r="M16" s="58"/>
      <c r="N16" s="58"/>
    </row>
    <row r="17" spans="1:3" x14ac:dyDescent="0.3">
      <c r="A17" s="91"/>
      <c r="B17" s="92" t="s">
        <v>18</v>
      </c>
      <c r="C17" s="94">
        <f>C16/C1</f>
        <v>0.32350084635236009</v>
      </c>
    </row>
    <row r="18" spans="1:3" ht="15" thickBot="1" x14ac:dyDescent="0.35">
      <c r="A18" s="95"/>
      <c r="B18" s="96" t="s">
        <v>19</v>
      </c>
      <c r="C18" s="97">
        <f>C17*100/(100-C17*100)</f>
        <v>0.47819844948521278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password="CF5F" sheet="1" objects="1" scenarios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16" zoomScaleNormal="100" workbookViewId="0">
      <selection activeCell="L30" sqref="L30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27.77734375" style="7" customWidth="1"/>
    <col min="8" max="8" width="10.5546875" style="7" customWidth="1"/>
    <col min="9" max="16384" width="8.88671875" style="7"/>
  </cols>
  <sheetData>
    <row r="1" spans="1:15" x14ac:dyDescent="0.3">
      <c r="A1" s="100">
        <v>1</v>
      </c>
      <c r="B1" s="101" t="s">
        <v>0</v>
      </c>
      <c r="C1" s="102">
        <f>I41</f>
        <v>87185</v>
      </c>
      <c r="G1" s="19">
        <f>'Бруто-во-нето-2025'!G1</f>
        <v>63154</v>
      </c>
      <c r="H1" s="18" t="s">
        <v>34</v>
      </c>
    </row>
    <row r="2" spans="1:15" x14ac:dyDescent="0.3">
      <c r="A2" s="106">
        <v>2</v>
      </c>
      <c r="B2" s="107" t="s">
        <v>60</v>
      </c>
      <c r="C2" s="108">
        <f>ROUND(IF(C1-G9&gt;0,C1-G9,0),0)</f>
        <v>76915</v>
      </c>
      <c r="G2" s="9">
        <v>0.5</v>
      </c>
    </row>
    <row r="3" spans="1:15" x14ac:dyDescent="0.3">
      <c r="A3" s="106">
        <v>3</v>
      </c>
      <c r="B3" s="79" t="s">
        <v>30</v>
      </c>
      <c r="C3" s="108">
        <f>ROUND(IF(C2&lt;81000,C2*G13,(C2-81000)*G14+81000*G13),0)</f>
        <v>8546</v>
      </c>
      <c r="G3" s="2">
        <f>G1*G2</f>
        <v>31577</v>
      </c>
      <c r="H3" s="7" t="s">
        <v>13</v>
      </c>
    </row>
    <row r="4" spans="1:15" x14ac:dyDescent="0.3">
      <c r="A4" s="109">
        <v>4</v>
      </c>
      <c r="B4" s="110" t="s">
        <v>39</v>
      </c>
      <c r="C4" s="111">
        <f>C1+C3</f>
        <v>95731</v>
      </c>
      <c r="G4" s="23">
        <v>1</v>
      </c>
      <c r="H4" s="7" t="s">
        <v>12</v>
      </c>
    </row>
    <row r="5" spans="1:15" x14ac:dyDescent="0.3">
      <c r="A5" s="73">
        <v>5</v>
      </c>
      <c r="B5" s="71" t="s">
        <v>1</v>
      </c>
      <c r="C5" s="99">
        <v>0.188</v>
      </c>
      <c r="G5" s="2">
        <f>G3*G4</f>
        <v>31577</v>
      </c>
      <c r="H5" s="7" t="s">
        <v>14</v>
      </c>
    </row>
    <row r="6" spans="1:15" x14ac:dyDescent="0.3">
      <c r="A6" s="70">
        <v>6</v>
      </c>
      <c r="B6" s="71" t="s">
        <v>2</v>
      </c>
      <c r="C6" s="99">
        <v>7.4999999999999997E-2</v>
      </c>
      <c r="G6" s="11">
        <v>16</v>
      </c>
    </row>
    <row r="7" spans="1:15" x14ac:dyDescent="0.3">
      <c r="A7" s="73">
        <v>7</v>
      </c>
      <c r="B7" s="71" t="s">
        <v>3</v>
      </c>
      <c r="C7" s="99">
        <v>5.0000000000000001E-3</v>
      </c>
      <c r="G7" s="2">
        <f>G6*G1</f>
        <v>1010464</v>
      </c>
      <c r="H7" s="7" t="s">
        <v>16</v>
      </c>
    </row>
    <row r="8" spans="1:15" x14ac:dyDescent="0.3">
      <c r="A8" s="70">
        <v>8</v>
      </c>
      <c r="B8" s="71" t="s">
        <v>4</v>
      </c>
      <c r="C8" s="99">
        <v>1.2E-2</v>
      </c>
      <c r="G8" s="20">
        <f>'Бруто-во-нето-2025'!G8</f>
        <v>10270</v>
      </c>
      <c r="H8" s="30" t="s">
        <v>44</v>
      </c>
    </row>
    <row r="9" spans="1:15" x14ac:dyDescent="0.3">
      <c r="A9" s="112">
        <v>9</v>
      </c>
      <c r="B9" s="113" t="s">
        <v>5</v>
      </c>
      <c r="C9" s="115">
        <f>(C5+C6+C7+C8)*100</f>
        <v>28.000000000000004</v>
      </c>
      <c r="G9" s="2">
        <f>G8*G4*H24/H27</f>
        <v>10270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5" x14ac:dyDescent="0.3">
      <c r="A10" s="114">
        <v>10</v>
      </c>
      <c r="B10" s="113" t="s">
        <v>6</v>
      </c>
      <c r="C10" s="116">
        <f>ROUND(100/(100-C9),10)</f>
        <v>1.3888888889</v>
      </c>
      <c r="G10" s="9">
        <v>0.1</v>
      </c>
      <c r="H10" s="7" t="s">
        <v>25</v>
      </c>
    </row>
    <row r="11" spans="1:15" x14ac:dyDescent="0.3">
      <c r="A11" s="117">
        <v>11</v>
      </c>
      <c r="B11" s="105" t="s">
        <v>7</v>
      </c>
      <c r="C11" s="93">
        <f>ROUND(IF(C4*C10&lt;G5,G5,IF(C4*C10&gt;G7,G7,C4*C10)),0)</f>
        <v>132960</v>
      </c>
      <c r="G11" s="9">
        <v>0.1</v>
      </c>
      <c r="H11" s="7" t="s">
        <v>26</v>
      </c>
    </row>
    <row r="12" spans="1:15" x14ac:dyDescent="0.3">
      <c r="A12" s="70">
        <v>12</v>
      </c>
      <c r="B12" s="71" t="s">
        <v>8</v>
      </c>
      <c r="C12" s="72">
        <f>ROUND(C5*C$11,0)</f>
        <v>24996</v>
      </c>
    </row>
    <row r="13" spans="1:15" x14ac:dyDescent="0.3">
      <c r="A13" s="73">
        <v>13</v>
      </c>
      <c r="B13" s="71" t="s">
        <v>9</v>
      </c>
      <c r="C13" s="72">
        <f>ROUND(C6*C$11,0)</f>
        <v>9972</v>
      </c>
      <c r="G13" s="12">
        <f>G10/(1-G10)</f>
        <v>0.11111111111111112</v>
      </c>
      <c r="H13" s="7" t="s">
        <v>32</v>
      </c>
    </row>
    <row r="14" spans="1:15" x14ac:dyDescent="0.3">
      <c r="A14" s="70">
        <v>14</v>
      </c>
      <c r="B14" s="71" t="s">
        <v>10</v>
      </c>
      <c r="C14" s="72">
        <f>ROUND(C7*C$11,0)</f>
        <v>665</v>
      </c>
      <c r="G14" s="12">
        <f>G11/(1-G11)</f>
        <v>0.11111111111111112</v>
      </c>
      <c r="H14" s="7" t="s">
        <v>33</v>
      </c>
    </row>
    <row r="15" spans="1:15" x14ac:dyDescent="0.3">
      <c r="A15" s="73">
        <v>15</v>
      </c>
      <c r="B15" s="71" t="s">
        <v>11</v>
      </c>
      <c r="C15" s="72">
        <f>ROUND(C8*C$11,0)</f>
        <v>1596</v>
      </c>
      <c r="G15" s="12"/>
    </row>
    <row r="16" spans="1:15" x14ac:dyDescent="0.3">
      <c r="A16" s="91">
        <v>16</v>
      </c>
      <c r="B16" s="105" t="s">
        <v>20</v>
      </c>
      <c r="C16" s="93">
        <f>C1+C3+C12+C13+C14+C15</f>
        <v>132960</v>
      </c>
      <c r="G16" s="98">
        <v>24379</v>
      </c>
      <c r="H16" s="58" t="s">
        <v>74</v>
      </c>
      <c r="I16" s="58"/>
      <c r="J16" s="58"/>
      <c r="K16" s="58"/>
      <c r="L16" s="58"/>
      <c r="M16" s="58"/>
      <c r="N16" s="58"/>
      <c r="O16" s="58"/>
    </row>
    <row r="17" spans="1:10" x14ac:dyDescent="0.3">
      <c r="A17" s="61"/>
      <c r="B17" s="59"/>
      <c r="C17" s="62"/>
    </row>
    <row r="18" spans="1:10" x14ac:dyDescent="0.3">
      <c r="A18" s="103"/>
      <c r="B18" s="118" t="s">
        <v>17</v>
      </c>
      <c r="C18" s="104">
        <f>C16-C1</f>
        <v>45775</v>
      </c>
      <c r="G18" s="39" t="s">
        <v>45</v>
      </c>
      <c r="H18" s="40">
        <v>45658</v>
      </c>
      <c r="I18" s="31" t="s">
        <v>48</v>
      </c>
    </row>
    <row r="19" spans="1:10" x14ac:dyDescent="0.3">
      <c r="A19" s="103"/>
      <c r="B19" s="118" t="s">
        <v>18</v>
      </c>
      <c r="C19" s="119">
        <f>C18/C16</f>
        <v>0.34427647412755719</v>
      </c>
      <c r="G19" s="36"/>
      <c r="H19" s="40">
        <v>45688</v>
      </c>
    </row>
    <row r="20" spans="1:10" ht="15" thickBot="1" x14ac:dyDescent="0.35">
      <c r="A20" s="120"/>
      <c r="B20" s="121" t="s">
        <v>19</v>
      </c>
      <c r="C20" s="122">
        <f>IFERROR(C19*100/(100-C19*100),0)</f>
        <v>0.52503297585593856</v>
      </c>
      <c r="G20" s="38" t="s">
        <v>52</v>
      </c>
      <c r="H20" s="11">
        <f>MONTH(H18)</f>
        <v>1</v>
      </c>
    </row>
    <row r="21" spans="1:10" x14ac:dyDescent="0.3">
      <c r="C21" s="14"/>
      <c r="G21" s="11"/>
      <c r="H21" s="11"/>
    </row>
    <row r="22" spans="1:10" x14ac:dyDescent="0.3">
      <c r="C22" s="14"/>
      <c r="G22" s="38" t="s">
        <v>50</v>
      </c>
      <c r="H22" s="11"/>
    </row>
    <row r="23" spans="1:10" x14ac:dyDescent="0.3">
      <c r="C23" s="14"/>
      <c r="G23" s="11" t="s">
        <v>46</v>
      </c>
      <c r="H23" s="11">
        <f>NETWORKDAYS(H18,H19)</f>
        <v>23</v>
      </c>
    </row>
    <row r="24" spans="1:10" x14ac:dyDescent="0.3">
      <c r="G24" s="11" t="s">
        <v>47</v>
      </c>
      <c r="H24" s="11">
        <f>H23*8*G4</f>
        <v>184</v>
      </c>
    </row>
    <row r="25" spans="1:10" x14ac:dyDescent="0.3">
      <c r="G25" s="37" t="s">
        <v>51</v>
      </c>
      <c r="H25" s="32"/>
    </row>
    <row r="26" spans="1:10" x14ac:dyDescent="0.3">
      <c r="G26" s="32" t="s">
        <v>46</v>
      </c>
      <c r="H26" s="32">
        <f>H27/8</f>
        <v>23</v>
      </c>
    </row>
    <row r="27" spans="1:10" x14ac:dyDescent="0.3">
      <c r="G27" s="32" t="s">
        <v>47</v>
      </c>
      <c r="H27" s="32">
        <f>VLOOKUP(H20,G44:H55,2,FALSE)*G4</f>
        <v>184</v>
      </c>
    </row>
    <row r="28" spans="1:10" ht="15" thickBot="1" x14ac:dyDescent="0.35"/>
    <row r="29" spans="1:10" ht="15" thickBot="1" x14ac:dyDescent="0.35">
      <c r="G29" s="131" t="s">
        <v>55</v>
      </c>
      <c r="H29" s="132"/>
      <c r="I29" s="133">
        <v>65000</v>
      </c>
      <c r="J29" s="134"/>
    </row>
    <row r="30" spans="1:10" ht="15" thickBot="1" x14ac:dyDescent="0.35">
      <c r="G30" s="138" t="s">
        <v>71</v>
      </c>
      <c r="H30" s="128"/>
      <c r="I30" s="135">
        <f>I29/H24</f>
        <v>353.26086956521738</v>
      </c>
      <c r="J30" s="139"/>
    </row>
    <row r="31" spans="1:10" ht="15" thickBot="1" x14ac:dyDescent="0.35">
      <c r="G31" s="131" t="s">
        <v>54</v>
      </c>
      <c r="H31" s="132"/>
      <c r="I31" s="136"/>
      <c r="J31" s="137"/>
    </row>
    <row r="32" spans="1:10" ht="15" thickBot="1" x14ac:dyDescent="0.35">
      <c r="G32" s="147" t="s">
        <v>70</v>
      </c>
      <c r="H32" s="148" t="s">
        <v>73</v>
      </c>
      <c r="I32" s="149">
        <f>ROUND(SUM(I33:J39),0)</f>
        <v>22185</v>
      </c>
      <c r="J32" s="150"/>
    </row>
    <row r="33" spans="6:10" x14ac:dyDescent="0.3">
      <c r="F33" s="151">
        <v>0.35</v>
      </c>
      <c r="G33" s="140" t="s">
        <v>64</v>
      </c>
      <c r="H33" s="129">
        <v>8</v>
      </c>
      <c r="I33" s="130">
        <f>(I30+I30*F33)*H33</f>
        <v>3815.2173913043475</v>
      </c>
      <c r="J33" s="141"/>
    </row>
    <row r="34" spans="6:10" x14ac:dyDescent="0.3">
      <c r="F34" s="152">
        <v>0.35</v>
      </c>
      <c r="G34" s="140" t="s">
        <v>65</v>
      </c>
      <c r="H34" s="129">
        <v>8</v>
      </c>
      <c r="I34" s="130">
        <f>I30*F34*H34</f>
        <v>989.13043478260863</v>
      </c>
      <c r="J34" s="141"/>
    </row>
    <row r="35" spans="6:10" x14ac:dyDescent="0.3">
      <c r="F35" s="152">
        <v>1</v>
      </c>
      <c r="G35" s="140" t="s">
        <v>66</v>
      </c>
      <c r="H35" s="129">
        <v>8</v>
      </c>
      <c r="I35" s="130">
        <f>I30*F35*H35</f>
        <v>2826.086956521739</v>
      </c>
      <c r="J35" s="141"/>
    </row>
    <row r="36" spans="6:10" x14ac:dyDescent="0.3">
      <c r="F36" s="152">
        <v>0.5</v>
      </c>
      <c r="G36" s="140" t="s">
        <v>67</v>
      </c>
      <c r="H36" s="129">
        <v>8</v>
      </c>
      <c r="I36" s="130">
        <f>I30*F36*H36</f>
        <v>1413.0434782608695</v>
      </c>
      <c r="J36" s="141"/>
    </row>
    <row r="37" spans="6:10" x14ac:dyDescent="0.3">
      <c r="F37" s="152">
        <v>1</v>
      </c>
      <c r="G37" s="140" t="s">
        <v>68</v>
      </c>
      <c r="H37" s="129">
        <v>8</v>
      </c>
      <c r="I37" s="130">
        <f>(I30+I30*F37)*H37</f>
        <v>5652.173913043478</v>
      </c>
      <c r="J37" s="141"/>
    </row>
    <row r="38" spans="6:10" x14ac:dyDescent="0.3">
      <c r="F38" s="152">
        <v>0.5</v>
      </c>
      <c r="G38" s="142" t="s">
        <v>72</v>
      </c>
      <c r="H38" s="129">
        <v>8</v>
      </c>
      <c r="I38" s="130">
        <f>(I30+I30*F38)*H38</f>
        <v>4239.1304347826081</v>
      </c>
      <c r="J38" s="141"/>
    </row>
    <row r="39" spans="6:10" ht="15" thickBot="1" x14ac:dyDescent="0.35">
      <c r="F39" s="153">
        <v>5.0000000000000001E-3</v>
      </c>
      <c r="G39" s="143" t="s">
        <v>69</v>
      </c>
      <c r="H39" s="144">
        <v>10</v>
      </c>
      <c r="I39" s="145">
        <f>I29*F39*H39</f>
        <v>3250</v>
      </c>
      <c r="J39" s="146"/>
    </row>
    <row r="41" spans="6:10" x14ac:dyDescent="0.3">
      <c r="G41" s="46" t="s">
        <v>49</v>
      </c>
      <c r="H41" s="47"/>
      <c r="I41" s="126">
        <f>I29+I31+I32</f>
        <v>87185</v>
      </c>
      <c r="J41" s="127"/>
    </row>
    <row r="42" spans="6:10" x14ac:dyDescent="0.3">
      <c r="G42" s="35"/>
      <c r="H42" s="33"/>
    </row>
    <row r="43" spans="6:10" x14ac:dyDescent="0.3">
      <c r="G43" s="46" t="s">
        <v>63</v>
      </c>
      <c r="H43" s="50"/>
      <c r="I43" s="50"/>
      <c r="J43" s="47"/>
    </row>
    <row r="44" spans="6:10" x14ac:dyDescent="0.3">
      <c r="G44" s="53">
        <v>1</v>
      </c>
      <c r="H44" s="54">
        <v>184</v>
      </c>
      <c r="I44" s="49"/>
      <c r="J44" s="45"/>
    </row>
    <row r="45" spans="6:10" x14ac:dyDescent="0.3">
      <c r="G45" s="53">
        <v>2</v>
      </c>
      <c r="H45" s="54">
        <v>160</v>
      </c>
      <c r="I45" s="49"/>
      <c r="J45" s="45"/>
    </row>
    <row r="46" spans="6:10" x14ac:dyDescent="0.3">
      <c r="G46" s="53">
        <v>3</v>
      </c>
      <c r="H46" s="54">
        <v>168</v>
      </c>
      <c r="I46" s="49"/>
      <c r="J46" s="45"/>
    </row>
    <row r="47" spans="6:10" x14ac:dyDescent="0.3">
      <c r="G47" s="53">
        <v>4</v>
      </c>
      <c r="H47" s="54">
        <v>176</v>
      </c>
      <c r="I47" s="49"/>
      <c r="J47" s="45"/>
    </row>
    <row r="48" spans="6:10" x14ac:dyDescent="0.3">
      <c r="G48" s="53">
        <v>5</v>
      </c>
      <c r="H48" s="54">
        <v>176</v>
      </c>
      <c r="I48" s="49"/>
      <c r="J48" s="45"/>
    </row>
    <row r="49" spans="7:10" x14ac:dyDescent="0.3">
      <c r="G49" s="53">
        <v>6</v>
      </c>
      <c r="H49" s="54">
        <v>168</v>
      </c>
      <c r="I49" s="49"/>
      <c r="J49" s="45"/>
    </row>
    <row r="50" spans="7:10" x14ac:dyDescent="0.3">
      <c r="G50" s="53">
        <v>7</v>
      </c>
      <c r="H50" s="54">
        <v>184</v>
      </c>
      <c r="I50" s="49"/>
      <c r="J50" s="45"/>
    </row>
    <row r="51" spans="7:10" x14ac:dyDescent="0.3">
      <c r="G51" s="53">
        <v>8</v>
      </c>
      <c r="H51" s="54">
        <v>168</v>
      </c>
      <c r="I51" s="49"/>
      <c r="J51" s="45"/>
    </row>
    <row r="52" spans="7:10" x14ac:dyDescent="0.3">
      <c r="G52" s="53">
        <v>9</v>
      </c>
      <c r="H52" s="54">
        <v>176</v>
      </c>
      <c r="I52" s="49"/>
      <c r="J52" s="45"/>
    </row>
    <row r="53" spans="7:10" x14ac:dyDescent="0.3">
      <c r="G53" s="55">
        <v>10</v>
      </c>
      <c r="H53" s="56">
        <v>184</v>
      </c>
      <c r="I53" s="49"/>
      <c r="J53" s="45"/>
    </row>
    <row r="54" spans="7:10" x14ac:dyDescent="0.3">
      <c r="G54" s="55">
        <v>11</v>
      </c>
      <c r="H54" s="56">
        <v>160</v>
      </c>
      <c r="I54" s="49"/>
      <c r="J54" s="45"/>
    </row>
    <row r="55" spans="7:10" x14ac:dyDescent="0.3">
      <c r="G55" s="51">
        <v>12</v>
      </c>
      <c r="H55" s="52">
        <v>184</v>
      </c>
      <c r="I55" s="42"/>
      <c r="J55" s="43"/>
    </row>
    <row r="56" spans="7:10" x14ac:dyDescent="0.3">
      <c r="G56" s="48"/>
      <c r="H56" s="48"/>
    </row>
  </sheetData>
  <sheetProtection password="CF5F" sheet="1" objects="1" scenarios="1"/>
  <mergeCells count="12">
    <mergeCell ref="I29:J29"/>
    <mergeCell ref="I31:J31"/>
    <mergeCell ref="I41:J41"/>
    <mergeCell ref="I33:J33"/>
    <mergeCell ref="I34:J34"/>
    <mergeCell ref="I35:J35"/>
    <mergeCell ref="I36:J36"/>
    <mergeCell ref="I37:J37"/>
    <mergeCell ref="I38:J38"/>
    <mergeCell ref="I39:J39"/>
    <mergeCell ref="I30:J30"/>
    <mergeCell ref="I32:J32"/>
  </mergeCells>
  <conditionalFormatting sqref="H23:H2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0</v>
      </c>
      <c r="C1" s="1">
        <v>25000</v>
      </c>
      <c r="G1" s="19">
        <v>36017</v>
      </c>
      <c r="H1" s="18" t="s">
        <v>34</v>
      </c>
    </row>
    <row r="2" spans="1:8" x14ac:dyDescent="0.3">
      <c r="A2" s="7">
        <v>2</v>
      </c>
      <c r="B2" s="7" t="s">
        <v>27</v>
      </c>
      <c r="C2" s="2">
        <f>IF(C1-G9&gt;0,C1-G9,0)</f>
        <v>17000</v>
      </c>
      <c r="G2" s="9">
        <v>0.5</v>
      </c>
    </row>
    <row r="3" spans="1:8" x14ac:dyDescent="0.3">
      <c r="A3" s="7">
        <v>3</v>
      </c>
      <c r="B3" s="2" t="s">
        <v>41</v>
      </c>
      <c r="C3" s="2">
        <f>IF(C2&lt;81000,C2*G13,(C2-81000)*G14+81000*G13)</f>
        <v>1888.8888888888889</v>
      </c>
      <c r="G3" s="2">
        <f>G1*G2</f>
        <v>18008.5</v>
      </c>
      <c r="H3" s="7" t="s">
        <v>13</v>
      </c>
    </row>
    <row r="4" spans="1:8" x14ac:dyDescent="0.3">
      <c r="A4" s="6">
        <v>4</v>
      </c>
      <c r="B4" s="2" t="s">
        <v>21</v>
      </c>
      <c r="C4" s="3">
        <f>C1+C3</f>
        <v>26888.888888888891</v>
      </c>
      <c r="G4" s="9">
        <v>1</v>
      </c>
      <c r="H4" s="7" t="s">
        <v>12</v>
      </c>
    </row>
    <row r="5" spans="1:8" x14ac:dyDescent="0.3">
      <c r="A5" s="7">
        <v>5</v>
      </c>
      <c r="B5" s="2" t="s">
        <v>1</v>
      </c>
      <c r="C5" s="10">
        <v>0.184</v>
      </c>
      <c r="G5" s="2">
        <f>G3*G4</f>
        <v>18008.5</v>
      </c>
      <c r="H5" s="7" t="s">
        <v>14</v>
      </c>
    </row>
    <row r="6" spans="1:8" x14ac:dyDescent="0.3">
      <c r="A6" s="6">
        <v>6</v>
      </c>
      <c r="B6" s="2" t="s">
        <v>2</v>
      </c>
      <c r="C6" s="10">
        <v>7.3999999999999996E-2</v>
      </c>
      <c r="G6" s="11">
        <v>16</v>
      </c>
    </row>
    <row r="7" spans="1:8" x14ac:dyDescent="0.3">
      <c r="A7" s="7">
        <v>7</v>
      </c>
      <c r="B7" s="2" t="s">
        <v>3</v>
      </c>
      <c r="C7" s="10">
        <v>5.0000000000000001E-3</v>
      </c>
      <c r="G7" s="2">
        <f>G6*G1</f>
        <v>576272</v>
      </c>
      <c r="H7" s="7" t="s">
        <v>16</v>
      </c>
    </row>
    <row r="8" spans="1:8" x14ac:dyDescent="0.3">
      <c r="A8" s="6">
        <v>8</v>
      </c>
      <c r="B8" s="2" t="s">
        <v>4</v>
      </c>
      <c r="C8" s="10">
        <v>1.2E-2</v>
      </c>
      <c r="G8" s="8">
        <v>8000</v>
      </c>
      <c r="H8" s="7" t="s">
        <v>22</v>
      </c>
    </row>
    <row r="9" spans="1:8" x14ac:dyDescent="0.3">
      <c r="A9" s="7">
        <v>9</v>
      </c>
      <c r="B9" s="2" t="s">
        <v>5</v>
      </c>
      <c r="C9" s="5">
        <f>(C5+C6+C7+C8)*100</f>
        <v>27.500000000000004</v>
      </c>
      <c r="G9" s="2">
        <f>G8*G4</f>
        <v>8000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6</v>
      </c>
      <c r="C10" s="4">
        <f>100/(100-C9)</f>
        <v>1.3793103448275863</v>
      </c>
      <c r="G10" s="9">
        <v>0.1</v>
      </c>
      <c r="H10" s="7" t="s">
        <v>25</v>
      </c>
    </row>
    <row r="11" spans="1:8" x14ac:dyDescent="0.3">
      <c r="A11" s="7">
        <v>11</v>
      </c>
      <c r="B11" s="2" t="s">
        <v>7</v>
      </c>
      <c r="C11" s="3">
        <f>IF(C4*C10&lt;G5,G5,IF(C4*C10&gt;G7,G7,C4*C10))</f>
        <v>37088.122605363991</v>
      </c>
      <c r="G11" s="9">
        <v>0.18</v>
      </c>
      <c r="H11" s="7" t="s">
        <v>26</v>
      </c>
    </row>
    <row r="12" spans="1:8" x14ac:dyDescent="0.3">
      <c r="A12" s="6">
        <v>12</v>
      </c>
      <c r="B12" s="2" t="s">
        <v>8</v>
      </c>
      <c r="C12" s="2">
        <f>C5*C$11</f>
        <v>6824.2145593869745</v>
      </c>
    </row>
    <row r="13" spans="1:8" x14ac:dyDescent="0.3">
      <c r="A13" s="7">
        <v>13</v>
      </c>
      <c r="B13" s="2" t="s">
        <v>9</v>
      </c>
      <c r="C13" s="2">
        <f>C6*C$11</f>
        <v>2744.5210727969352</v>
      </c>
      <c r="G13" s="12">
        <f>G10/(1-G10)</f>
        <v>0.11111111111111112</v>
      </c>
      <c r="H13" s="7" t="s">
        <v>32</v>
      </c>
    </row>
    <row r="14" spans="1:8" x14ac:dyDescent="0.3">
      <c r="A14" s="6">
        <v>14</v>
      </c>
      <c r="B14" s="2" t="s">
        <v>10</v>
      </c>
      <c r="C14" s="2">
        <f>C7*C$11</f>
        <v>185.44061302681996</v>
      </c>
      <c r="G14" s="12">
        <f>G11/(1-G11)</f>
        <v>0.21951219512195119</v>
      </c>
      <c r="H14" s="7" t="s">
        <v>33</v>
      </c>
    </row>
    <row r="15" spans="1:8" x14ac:dyDescent="0.3">
      <c r="A15" s="7">
        <v>15</v>
      </c>
      <c r="B15" s="2" t="s">
        <v>11</v>
      </c>
      <c r="C15" s="2">
        <f>C8*C$11</f>
        <v>445.0574712643679</v>
      </c>
    </row>
    <row r="16" spans="1:8" x14ac:dyDescent="0.3">
      <c r="A16" s="6">
        <v>16</v>
      </c>
      <c r="B16" s="2" t="s">
        <v>20</v>
      </c>
      <c r="C16" s="2">
        <f>C1+C3+C12+C13+C14+C15</f>
        <v>37088.122605363977</v>
      </c>
    </row>
    <row r="17" spans="1:3" x14ac:dyDescent="0.3">
      <c r="A17" s="6"/>
    </row>
    <row r="18" spans="1:3" x14ac:dyDescent="0.3">
      <c r="A18" s="6"/>
      <c r="B18" s="7" t="s">
        <v>17</v>
      </c>
      <c r="C18" s="2">
        <f>C16-C1</f>
        <v>12088.122605363977</v>
      </c>
    </row>
    <row r="19" spans="1:3" x14ac:dyDescent="0.3">
      <c r="A19" s="6"/>
      <c r="B19" s="7" t="s">
        <v>18</v>
      </c>
      <c r="C19" s="13">
        <f>C18/C16</f>
        <v>0.32592975206611557</v>
      </c>
    </row>
    <row r="20" spans="1:3" x14ac:dyDescent="0.3">
      <c r="A20" s="6"/>
      <c r="B20" s="7" t="s">
        <v>19</v>
      </c>
      <c r="C20" s="13">
        <f>C19*100/(100-C19*100)</f>
        <v>0.48352490421455907</v>
      </c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0558cCMH6r/Yt8afD/MSp6w/dmjF++qDN8NnnqKbd5h21aK9/55ovQ6Q0/ygz5N0bESFlRegxrbfyxMrZ43Fdg==" saltValue="7EVym/iKzBK5U6jOdZaDv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0</v>
      </c>
      <c r="C1" s="1">
        <v>25000</v>
      </c>
      <c r="G1" s="19">
        <v>38319</v>
      </c>
      <c r="H1" s="18" t="s">
        <v>34</v>
      </c>
    </row>
    <row r="2" spans="1:8" x14ac:dyDescent="0.3">
      <c r="A2" s="7">
        <v>2</v>
      </c>
      <c r="B2" s="7" t="s">
        <v>27</v>
      </c>
      <c r="C2" s="2">
        <f>IF(C1-G9&gt;0,C1-G9,0)</f>
        <v>16772</v>
      </c>
      <c r="G2" s="9">
        <v>0.5</v>
      </c>
    </row>
    <row r="3" spans="1:8" x14ac:dyDescent="0.3">
      <c r="A3" s="7">
        <v>3</v>
      </c>
      <c r="B3" s="2" t="s">
        <v>30</v>
      </c>
      <c r="C3" s="2">
        <f>IF(C2&lt;81000,C2*G13,(C2-81000)*G14+81000*G13)</f>
        <v>1863.5555555555557</v>
      </c>
      <c r="G3" s="2">
        <f>G1*G2</f>
        <v>19159.5</v>
      </c>
      <c r="H3" s="7" t="s">
        <v>13</v>
      </c>
    </row>
    <row r="4" spans="1:8" x14ac:dyDescent="0.3">
      <c r="A4" s="6">
        <v>4</v>
      </c>
      <c r="B4" s="2" t="s">
        <v>39</v>
      </c>
      <c r="C4" s="3">
        <f>C1+C3</f>
        <v>26863.555555555555</v>
      </c>
      <c r="G4" s="9">
        <v>1</v>
      </c>
      <c r="H4" s="7" t="s">
        <v>12</v>
      </c>
    </row>
    <row r="5" spans="1:8" x14ac:dyDescent="0.3">
      <c r="A5" s="7">
        <v>5</v>
      </c>
      <c r="B5" s="2" t="s">
        <v>1</v>
      </c>
      <c r="C5" s="10">
        <v>0.188</v>
      </c>
      <c r="G5" s="2">
        <f>G3*G4</f>
        <v>19159.5</v>
      </c>
      <c r="H5" s="7" t="s">
        <v>14</v>
      </c>
    </row>
    <row r="6" spans="1:8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8" x14ac:dyDescent="0.3">
      <c r="A7" s="7">
        <v>7</v>
      </c>
      <c r="B7" s="2" t="s">
        <v>3</v>
      </c>
      <c r="C7" s="10">
        <v>5.0000000000000001E-3</v>
      </c>
      <c r="G7" s="2">
        <f>G6*G1</f>
        <v>613104</v>
      </c>
      <c r="H7" s="7" t="s">
        <v>16</v>
      </c>
    </row>
    <row r="8" spans="1:8" x14ac:dyDescent="0.3">
      <c r="A8" s="6">
        <v>8</v>
      </c>
      <c r="B8" s="2" t="s">
        <v>4</v>
      </c>
      <c r="C8" s="10">
        <v>1.2E-2</v>
      </c>
      <c r="G8" s="20">
        <v>8228</v>
      </c>
      <c r="H8" s="21" t="s">
        <v>31</v>
      </c>
    </row>
    <row r="9" spans="1:8" x14ac:dyDescent="0.3">
      <c r="A9" s="7">
        <v>9</v>
      </c>
      <c r="B9" s="2" t="s">
        <v>5</v>
      </c>
      <c r="C9" s="5">
        <f>(C5+C6+C7+C8)*100</f>
        <v>28.000000000000004</v>
      </c>
      <c r="G9" s="2">
        <f>G8*G4</f>
        <v>8228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8" x14ac:dyDescent="0.3">
      <c r="A11" s="7">
        <v>11</v>
      </c>
      <c r="B11" s="2" t="s">
        <v>7</v>
      </c>
      <c r="C11" s="3">
        <f>IF(C4*C10&lt;G5,G5,IF(C4*C10&gt;G7,G7,C4*C10))</f>
        <v>37310.493827160491</v>
      </c>
      <c r="G11" s="9">
        <v>0.1</v>
      </c>
      <c r="H11" s="7" t="s">
        <v>26</v>
      </c>
    </row>
    <row r="12" spans="1:8" x14ac:dyDescent="0.3">
      <c r="A12" s="6">
        <v>12</v>
      </c>
      <c r="B12" s="2" t="s">
        <v>8</v>
      </c>
      <c r="C12" s="2">
        <f>C5*C$11</f>
        <v>7014.3728395061726</v>
      </c>
    </row>
    <row r="13" spans="1:8" x14ac:dyDescent="0.3">
      <c r="A13" s="7">
        <v>13</v>
      </c>
      <c r="B13" s="2" t="s">
        <v>9</v>
      </c>
      <c r="C13" s="2">
        <f>C6*C$11</f>
        <v>2798.287037037037</v>
      </c>
      <c r="G13" s="12">
        <f>G10/(1-G10)</f>
        <v>0.11111111111111112</v>
      </c>
      <c r="H13" s="7" t="s">
        <v>32</v>
      </c>
    </row>
    <row r="14" spans="1:8" x14ac:dyDescent="0.3">
      <c r="A14" s="6">
        <v>14</v>
      </c>
      <c r="B14" s="2" t="s">
        <v>10</v>
      </c>
      <c r="C14" s="2">
        <f>C7*C$11</f>
        <v>186.55246913580245</v>
      </c>
      <c r="G14" s="12">
        <f>G11/(1-G11)</f>
        <v>0.11111111111111112</v>
      </c>
      <c r="H14" s="7" t="s">
        <v>33</v>
      </c>
    </row>
    <row r="15" spans="1:8" x14ac:dyDescent="0.3">
      <c r="A15" s="7">
        <v>15</v>
      </c>
      <c r="B15" s="2" t="s">
        <v>11</v>
      </c>
      <c r="C15" s="2">
        <f>C8*C$11</f>
        <v>447.72592592592594</v>
      </c>
    </row>
    <row r="16" spans="1:8" x14ac:dyDescent="0.3">
      <c r="A16" s="6">
        <v>16</v>
      </c>
      <c r="B16" s="2" t="s">
        <v>20</v>
      </c>
      <c r="C16" s="2">
        <f>C1+C3+C12+C13+C14+C15</f>
        <v>37310.493827160484</v>
      </c>
    </row>
    <row r="17" spans="1:3" x14ac:dyDescent="0.3">
      <c r="A17" s="6"/>
    </row>
    <row r="18" spans="1:3" x14ac:dyDescent="0.3">
      <c r="A18" s="6"/>
      <c r="B18" s="7" t="s">
        <v>17</v>
      </c>
      <c r="C18" s="2">
        <f>C16-C1</f>
        <v>12310.493827160484</v>
      </c>
    </row>
    <row r="19" spans="1:3" x14ac:dyDescent="0.3">
      <c r="A19" s="6"/>
      <c r="B19" s="7" t="s">
        <v>18</v>
      </c>
      <c r="C19" s="13">
        <f>C18/C16</f>
        <v>0.32994722300349072</v>
      </c>
    </row>
    <row r="20" spans="1:3" x14ac:dyDescent="0.3">
      <c r="A20" s="6"/>
      <c r="B20" s="7" t="s">
        <v>19</v>
      </c>
      <c r="C20" s="13">
        <f>C19*100/(100-C19*100)</f>
        <v>0.4924197530864195</v>
      </c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D4YcI8XPBzbSUaZ5DHTqMOAjNJtJFTdExNbqEY+jfu6rjTd1h11Frk3N+Fd1uvabR1cM7hSIpEDE8HO+fJHzoQ==" saltValue="77Jyttvr1lNXndMw1E+27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37310</v>
      </c>
      <c r="G1" s="19">
        <v>38319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9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">
        <f>G1*G2</f>
        <v>19159.5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9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">
        <f>G3*G4</f>
        <v>19159.5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7014.28</v>
      </c>
      <c r="G6" s="11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2798.25</v>
      </c>
      <c r="G7" s="2">
        <f>G6*G1</f>
        <v>613104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186.55</v>
      </c>
      <c r="G8" s="16">
        <v>8228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447.72</v>
      </c>
      <c r="G9" s="2">
        <f>G8*G4</f>
        <v>8228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26863.200000000001</v>
      </c>
      <c r="G10" s="1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18635.2</v>
      </c>
      <c r="G11" s="1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1863.5200000000002</v>
      </c>
    </row>
    <row r="13" spans="1:8" x14ac:dyDescent="0.3">
      <c r="A13" s="7">
        <v>13</v>
      </c>
      <c r="B13" s="2" t="s">
        <v>0</v>
      </c>
      <c r="C13" s="2">
        <f>IF(C1-C16&gt;0,C1-C16,1)</f>
        <v>24999.68</v>
      </c>
      <c r="G13" s="12">
        <f>G10/(1-G10)</f>
        <v>0.11111111111111112</v>
      </c>
      <c r="H13" s="7" t="s">
        <v>32</v>
      </c>
    </row>
    <row r="14" spans="1:8" x14ac:dyDescent="0.3">
      <c r="A14" s="6"/>
      <c r="G14" s="12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12310.319999999998</v>
      </c>
    </row>
    <row r="17" spans="1:3" x14ac:dyDescent="0.3">
      <c r="A17" s="6"/>
      <c r="B17" s="7" t="s">
        <v>18</v>
      </c>
      <c r="C17" s="13">
        <f>C16/C1</f>
        <v>0.32994693111766277</v>
      </c>
    </row>
    <row r="18" spans="1:3" x14ac:dyDescent="0.3">
      <c r="A18" s="6"/>
      <c r="B18" s="7" t="s">
        <v>19</v>
      </c>
      <c r="C18" s="13">
        <f>C17*100/(100-C17*100)</f>
        <v>0.4924191029645178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M9njCStyMUEO6CZOo6OzssMJ3/mrSg7F3vXVuvPDo+wIF9pqqcuHrjxvovSlajTdfHLO8QyYdLyDXp9taEdkqQ==" saltValue="3w83FUTbVvVvp9+3U55VWw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G27" sqref="G27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3.33203125" style="7" customWidth="1"/>
    <col min="8" max="8" width="10.33203125" style="7" bestFit="1" customWidth="1"/>
    <col min="9" max="16384" width="8.88671875" style="7"/>
  </cols>
  <sheetData>
    <row r="1" spans="1:9" x14ac:dyDescent="0.3">
      <c r="A1" s="6">
        <v>1</v>
      </c>
      <c r="B1" s="7" t="s">
        <v>0</v>
      </c>
      <c r="C1" s="8">
        <f>ROUND(I27*(H22/H25),0)</f>
        <v>153750</v>
      </c>
      <c r="G1" s="19">
        <v>41141</v>
      </c>
      <c r="H1" s="18" t="s">
        <v>34</v>
      </c>
    </row>
    <row r="2" spans="1:9" x14ac:dyDescent="0.3">
      <c r="A2" s="7">
        <v>2</v>
      </c>
      <c r="B2" s="7" t="s">
        <v>27</v>
      </c>
      <c r="C2" s="2">
        <f>IF(C1-G9&gt;0,C1-G9,0)</f>
        <v>145312</v>
      </c>
      <c r="G2" s="9">
        <v>0.5</v>
      </c>
    </row>
    <row r="3" spans="1:9" x14ac:dyDescent="0.3">
      <c r="A3" s="7">
        <v>3</v>
      </c>
      <c r="B3" s="2" t="s">
        <v>30</v>
      </c>
      <c r="C3" s="2">
        <f>IF(C2&lt;81000,C2*G13,(C2-81000)*G14+81000*G13)</f>
        <v>16145.777777777777</v>
      </c>
      <c r="G3" s="2">
        <f>G1*G2</f>
        <v>20570.5</v>
      </c>
      <c r="H3" s="7" t="s">
        <v>13</v>
      </c>
    </row>
    <row r="4" spans="1:9" x14ac:dyDescent="0.3">
      <c r="A4" s="6">
        <v>4</v>
      </c>
      <c r="B4" s="2" t="s">
        <v>39</v>
      </c>
      <c r="C4" s="3">
        <f>C1+C3</f>
        <v>169895.77777777778</v>
      </c>
      <c r="G4" s="23">
        <v>1</v>
      </c>
      <c r="H4" s="7" t="s">
        <v>12</v>
      </c>
    </row>
    <row r="5" spans="1:9" x14ac:dyDescent="0.3">
      <c r="A5" s="7">
        <v>5</v>
      </c>
      <c r="B5" s="2" t="s">
        <v>1</v>
      </c>
      <c r="C5" s="10">
        <v>0.188</v>
      </c>
      <c r="G5" s="2">
        <f>G3*G4</f>
        <v>20570.5</v>
      </c>
      <c r="H5" s="7" t="s">
        <v>14</v>
      </c>
    </row>
    <row r="6" spans="1:9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9" x14ac:dyDescent="0.3">
      <c r="A7" s="7">
        <v>7</v>
      </c>
      <c r="B7" s="2" t="s">
        <v>3</v>
      </c>
      <c r="C7" s="10">
        <v>5.0000000000000001E-3</v>
      </c>
      <c r="G7" s="2">
        <f>G6*G1</f>
        <v>658256</v>
      </c>
      <c r="H7" s="7" t="s">
        <v>16</v>
      </c>
    </row>
    <row r="8" spans="1:9" x14ac:dyDescent="0.3">
      <c r="A8" s="6">
        <v>8</v>
      </c>
      <c r="B8" s="2" t="s">
        <v>4</v>
      </c>
      <c r="C8" s="10">
        <v>1.2E-2</v>
      </c>
      <c r="G8" s="20">
        <v>8438</v>
      </c>
      <c r="H8" s="30" t="s">
        <v>44</v>
      </c>
    </row>
    <row r="9" spans="1:9" x14ac:dyDescent="0.3">
      <c r="A9" s="7">
        <v>9</v>
      </c>
      <c r="B9" s="2" t="s">
        <v>5</v>
      </c>
      <c r="C9" s="5">
        <f>(C5+C6+C7+C8)*100</f>
        <v>28.000000000000004</v>
      </c>
      <c r="G9" s="2">
        <f>G8*G4*H22/H25</f>
        <v>8438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9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9" x14ac:dyDescent="0.3">
      <c r="A11" s="7">
        <v>11</v>
      </c>
      <c r="B11" s="2" t="s">
        <v>7</v>
      </c>
      <c r="C11" s="3">
        <f>IF(C4*C10&lt;G5,G5,IF(C4*C10&gt;G7,G7,C4*C10))</f>
        <v>235966.35802469135</v>
      </c>
      <c r="G11" s="9">
        <v>0.1</v>
      </c>
      <c r="H11" s="7" t="s">
        <v>26</v>
      </c>
    </row>
    <row r="12" spans="1:9" x14ac:dyDescent="0.3">
      <c r="A12" s="6">
        <v>12</v>
      </c>
      <c r="B12" s="2" t="s">
        <v>8</v>
      </c>
      <c r="C12" s="2">
        <f>C5*C$11</f>
        <v>44361.67530864197</v>
      </c>
    </row>
    <row r="13" spans="1:9" x14ac:dyDescent="0.3">
      <c r="A13" s="7">
        <v>13</v>
      </c>
      <c r="B13" s="2" t="s">
        <v>9</v>
      </c>
      <c r="C13" s="2">
        <f>C6*C$11</f>
        <v>17697.47685185185</v>
      </c>
      <c r="G13" s="12">
        <f>G10/(1-G10)</f>
        <v>0.11111111111111112</v>
      </c>
      <c r="H13" s="7" t="s">
        <v>32</v>
      </c>
    </row>
    <row r="14" spans="1:9" x14ac:dyDescent="0.3">
      <c r="A14" s="6">
        <v>14</v>
      </c>
      <c r="B14" s="2" t="s">
        <v>10</v>
      </c>
      <c r="C14" s="2">
        <f>C7*C$11</f>
        <v>1179.8317901234568</v>
      </c>
      <c r="G14" s="12">
        <f>G11/(1-G11)</f>
        <v>0.11111111111111112</v>
      </c>
      <c r="H14" s="7" t="s">
        <v>33</v>
      </c>
    </row>
    <row r="15" spans="1:9" x14ac:dyDescent="0.3">
      <c r="A15" s="7">
        <v>15</v>
      </c>
      <c r="B15" s="2" t="s">
        <v>11</v>
      </c>
      <c r="C15" s="2">
        <f>C8*C$11</f>
        <v>2831.5962962962963</v>
      </c>
    </row>
    <row r="16" spans="1:9" x14ac:dyDescent="0.3">
      <c r="A16" s="6">
        <v>16</v>
      </c>
      <c r="B16" s="2" t="s">
        <v>20</v>
      </c>
      <c r="C16" s="2">
        <f>C1+C3+C12+C13+C14+C15</f>
        <v>235966.35802469138</v>
      </c>
      <c r="G16" s="39" t="s">
        <v>45</v>
      </c>
      <c r="H16" s="40">
        <v>44317</v>
      </c>
      <c r="I16" s="31" t="s">
        <v>48</v>
      </c>
    </row>
    <row r="17" spans="1:10" x14ac:dyDescent="0.3">
      <c r="A17" s="6"/>
      <c r="G17" s="36"/>
      <c r="H17" s="40">
        <v>44347</v>
      </c>
    </row>
    <row r="18" spans="1:10" x14ac:dyDescent="0.3">
      <c r="A18" s="6"/>
      <c r="B18" s="7" t="s">
        <v>17</v>
      </c>
      <c r="C18" s="2">
        <f>C16-C1</f>
        <v>82216.358024691377</v>
      </c>
      <c r="G18" s="38" t="s">
        <v>52</v>
      </c>
      <c r="H18" s="11">
        <f>MONTH(H16)</f>
        <v>5</v>
      </c>
    </row>
    <row r="19" spans="1:10" x14ac:dyDescent="0.3">
      <c r="A19" s="6"/>
      <c r="B19" s="7" t="s">
        <v>18</v>
      </c>
      <c r="C19" s="13">
        <f>C18/C16</f>
        <v>0.34842406651921248</v>
      </c>
      <c r="G19" s="11"/>
      <c r="H19" s="11"/>
    </row>
    <row r="20" spans="1:10" x14ac:dyDescent="0.3">
      <c r="A20" s="6"/>
      <c r="B20" s="7" t="s">
        <v>19</v>
      </c>
      <c r="C20" s="13">
        <f>C19*100/(100-C19*100)</f>
        <v>0.53474053999799276</v>
      </c>
      <c r="G20" s="38" t="s">
        <v>50</v>
      </c>
      <c r="H20" s="11"/>
    </row>
    <row r="21" spans="1:10" x14ac:dyDescent="0.3">
      <c r="C21" s="14"/>
      <c r="G21" s="11" t="s">
        <v>46</v>
      </c>
      <c r="H21" s="11">
        <f>NETWORKDAYS(H16,H17)</f>
        <v>21</v>
      </c>
    </row>
    <row r="22" spans="1:10" x14ac:dyDescent="0.3">
      <c r="C22" s="14"/>
      <c r="G22" s="11" t="s">
        <v>47</v>
      </c>
      <c r="H22" s="11">
        <f>H21*8*G4</f>
        <v>168</v>
      </c>
    </row>
    <row r="23" spans="1:10" x14ac:dyDescent="0.3">
      <c r="C23" s="14"/>
      <c r="G23" s="37" t="s">
        <v>51</v>
      </c>
      <c r="H23" s="32"/>
    </row>
    <row r="24" spans="1:10" x14ac:dyDescent="0.3">
      <c r="G24" s="32" t="s">
        <v>46</v>
      </c>
      <c r="H24" s="32">
        <f>H25/8</f>
        <v>21</v>
      </c>
    </row>
    <row r="25" spans="1:10" x14ac:dyDescent="0.3">
      <c r="G25" s="32" t="s">
        <v>47</v>
      </c>
      <c r="H25" s="32">
        <f>VLOOKUP(H18,G30:H41,2,FALSE)*G4</f>
        <v>168</v>
      </c>
    </row>
    <row r="27" spans="1:10" x14ac:dyDescent="0.3">
      <c r="G27" s="36" t="s">
        <v>49</v>
      </c>
      <c r="H27" s="36"/>
      <c r="I27" s="123">
        <v>153750</v>
      </c>
      <c r="J27" s="123"/>
    </row>
    <row r="29" spans="1:10" x14ac:dyDescent="0.3">
      <c r="G29" s="34" t="s">
        <v>52</v>
      </c>
      <c r="H29" s="34" t="s">
        <v>53</v>
      </c>
    </row>
    <row r="30" spans="1:10" x14ac:dyDescent="0.3">
      <c r="G30" s="35">
        <v>1</v>
      </c>
      <c r="H30" s="33">
        <v>168</v>
      </c>
    </row>
    <row r="31" spans="1:10" x14ac:dyDescent="0.3">
      <c r="G31" s="35">
        <v>2</v>
      </c>
      <c r="H31" s="33">
        <v>160</v>
      </c>
    </row>
    <row r="32" spans="1:10" x14ac:dyDescent="0.3">
      <c r="G32" s="35">
        <v>3</v>
      </c>
      <c r="H32" s="33">
        <v>184</v>
      </c>
    </row>
    <row r="33" spans="7:8" x14ac:dyDescent="0.3">
      <c r="G33" s="35">
        <v>4</v>
      </c>
      <c r="H33" s="33">
        <v>176</v>
      </c>
    </row>
    <row r="34" spans="7:8" x14ac:dyDescent="0.3">
      <c r="G34" s="35">
        <v>5</v>
      </c>
      <c r="H34" s="33">
        <v>168</v>
      </c>
    </row>
    <row r="35" spans="7:8" x14ac:dyDescent="0.3">
      <c r="G35" s="35">
        <v>6</v>
      </c>
      <c r="H35" s="33">
        <v>176</v>
      </c>
    </row>
    <row r="36" spans="7:8" x14ac:dyDescent="0.3">
      <c r="G36" s="35">
        <v>7</v>
      </c>
      <c r="H36" s="33">
        <v>176</v>
      </c>
    </row>
    <row r="37" spans="7:8" x14ac:dyDescent="0.3">
      <c r="G37" s="35">
        <v>8</v>
      </c>
      <c r="H37" s="33">
        <v>176</v>
      </c>
    </row>
    <row r="38" spans="7:8" x14ac:dyDescent="0.3">
      <c r="G38" s="35">
        <v>9</v>
      </c>
      <c r="H38" s="33">
        <v>176</v>
      </c>
    </row>
    <row r="39" spans="7:8" x14ac:dyDescent="0.3">
      <c r="G39" s="35">
        <v>10</v>
      </c>
      <c r="H39" s="33">
        <v>168</v>
      </c>
    </row>
    <row r="40" spans="7:8" x14ac:dyDescent="0.3">
      <c r="G40" s="35">
        <v>11</v>
      </c>
      <c r="H40" s="33">
        <v>176</v>
      </c>
    </row>
    <row r="41" spans="7:8" x14ac:dyDescent="0.3">
      <c r="G41" s="35">
        <v>12</v>
      </c>
      <c r="H41" s="33">
        <v>184</v>
      </c>
    </row>
  </sheetData>
  <sheetProtection sheet="1" objects="1" scenarios="1"/>
  <mergeCells count="1">
    <mergeCell ref="I27:J27"/>
  </mergeCells>
  <conditionalFormatting sqref="H21:H22">
    <cfRule type="cellIs" dxfId="4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24" zoomScaleNormal="130" workbookViewId="0">
      <selection activeCell="G16" sqref="G16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75858</v>
      </c>
      <c r="G1" s="19">
        <v>41141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23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4">
        <f>G1*G2</f>
        <v>20570.5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23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4">
        <f>G3*G4</f>
        <v>20570.5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14261.304</v>
      </c>
      <c r="G6" s="25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5689.3499999999995</v>
      </c>
      <c r="G7" s="24">
        <f>G6*G1</f>
        <v>658256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379.29</v>
      </c>
      <c r="G8" s="26">
        <v>8438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910.29600000000005</v>
      </c>
      <c r="G9" s="24">
        <f>G8*G4</f>
        <v>8438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54617.759999999995</v>
      </c>
      <c r="G10" s="2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46179.759999999995</v>
      </c>
      <c r="G11" s="2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4617.9759999999997</v>
      </c>
    </row>
    <row r="13" spans="1:8" x14ac:dyDescent="0.3">
      <c r="A13" s="7">
        <v>13</v>
      </c>
      <c r="B13" s="2" t="s">
        <v>0</v>
      </c>
      <c r="C13" s="2">
        <f>IF(C1-C16&gt;0,C1-C16,1)</f>
        <v>49999.784</v>
      </c>
      <c r="G13" s="29">
        <f>G10/(1-G10)</f>
        <v>0.11111111111111112</v>
      </c>
      <c r="H13" s="7" t="s">
        <v>32</v>
      </c>
    </row>
    <row r="14" spans="1:8" x14ac:dyDescent="0.3">
      <c r="A14" s="6"/>
      <c r="G14" s="29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25858.215999999997</v>
      </c>
    </row>
    <row r="17" spans="1:3" x14ac:dyDescent="0.3">
      <c r="A17" s="6"/>
      <c r="B17" s="7" t="s">
        <v>18</v>
      </c>
      <c r="C17" s="13">
        <f>C16/C1</f>
        <v>0.3408765851986606</v>
      </c>
    </row>
    <row r="18" spans="1:3" x14ac:dyDescent="0.3">
      <c r="A18" s="6"/>
      <c r="B18" s="7" t="s">
        <v>19</v>
      </c>
      <c r="C18" s="13">
        <f>C17*100/(100-C17*100)</f>
        <v>0.51716655415951396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xUW4iJItoWiheHYN+YNkeGm8+tnzO8mhxeTNVuCIx6FNLIHbXC04gPHHtqa9NetoSSMr9mkp1UjDWOXPGt0clw==" saltValue="Yo5oSNY+vcMQo8KU+uCYBw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5"/>
  <sheetViews>
    <sheetView zoomScale="130" zoomScaleNormal="130" workbookViewId="0">
      <selection activeCell="I28" sqref="I28:J28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3.33203125" style="7" customWidth="1"/>
    <col min="8" max="8" width="10.33203125" style="7" bestFit="1" customWidth="1"/>
    <col min="9" max="16384" width="8.88671875" style="7"/>
  </cols>
  <sheetData>
    <row r="1" spans="1:9" x14ac:dyDescent="0.3">
      <c r="A1" s="6">
        <v>1</v>
      </c>
      <c r="B1" s="7" t="s">
        <v>0</v>
      </c>
      <c r="C1" s="8">
        <f>ROUND(I27*(H22/H25),0)+I28</f>
        <v>27102</v>
      </c>
      <c r="G1" s="19">
        <v>43509</v>
      </c>
      <c r="H1" s="18" t="s">
        <v>34</v>
      </c>
    </row>
    <row r="2" spans="1:9" x14ac:dyDescent="0.3">
      <c r="A2" s="7">
        <v>2</v>
      </c>
      <c r="B2" s="7" t="s">
        <v>27</v>
      </c>
      <c r="C2" s="2">
        <f>IF(C1-G9&gt;0,C1-G9,0)</f>
        <v>18314</v>
      </c>
      <c r="G2" s="9">
        <v>0.5</v>
      </c>
    </row>
    <row r="3" spans="1:9" x14ac:dyDescent="0.3">
      <c r="A3" s="7">
        <v>3</v>
      </c>
      <c r="B3" s="2" t="s">
        <v>30</v>
      </c>
      <c r="C3" s="2">
        <f>IF(C2&lt;81000,C2*G13,(C2-81000)*G14+81000*G13)</f>
        <v>2034.8888888888891</v>
      </c>
      <c r="G3" s="2">
        <f>G1*G2</f>
        <v>21754.5</v>
      </c>
      <c r="H3" s="7" t="s">
        <v>13</v>
      </c>
    </row>
    <row r="4" spans="1:9" x14ac:dyDescent="0.3">
      <c r="A4" s="6">
        <v>4</v>
      </c>
      <c r="B4" s="2" t="s">
        <v>39</v>
      </c>
      <c r="C4" s="3">
        <f>C1+C3</f>
        <v>29136.888888888891</v>
      </c>
      <c r="G4" s="23">
        <v>1</v>
      </c>
      <c r="H4" s="7" t="s">
        <v>12</v>
      </c>
    </row>
    <row r="5" spans="1:9" x14ac:dyDescent="0.3">
      <c r="A5" s="7">
        <v>5</v>
      </c>
      <c r="B5" s="2" t="s">
        <v>1</v>
      </c>
      <c r="C5" s="10">
        <v>0.188</v>
      </c>
      <c r="G5" s="2">
        <f>G3*G4</f>
        <v>21754.5</v>
      </c>
      <c r="H5" s="7" t="s">
        <v>14</v>
      </c>
    </row>
    <row r="6" spans="1:9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9" x14ac:dyDescent="0.3">
      <c r="A7" s="7">
        <v>7</v>
      </c>
      <c r="B7" s="2" t="s">
        <v>3</v>
      </c>
      <c r="C7" s="10">
        <v>5.0000000000000001E-3</v>
      </c>
      <c r="G7" s="2">
        <f>G6*G1</f>
        <v>696144</v>
      </c>
      <c r="H7" s="7" t="s">
        <v>16</v>
      </c>
    </row>
    <row r="8" spans="1:9" x14ac:dyDescent="0.3">
      <c r="A8" s="6">
        <v>8</v>
      </c>
      <c r="B8" s="2" t="s">
        <v>4</v>
      </c>
      <c r="C8" s="10">
        <v>1.2E-2</v>
      </c>
      <c r="G8" s="20">
        <v>8788</v>
      </c>
      <c r="H8" s="30" t="s">
        <v>44</v>
      </c>
    </row>
    <row r="9" spans="1:9" x14ac:dyDescent="0.3">
      <c r="A9" s="7">
        <v>9</v>
      </c>
      <c r="B9" s="2" t="s">
        <v>5</v>
      </c>
      <c r="C9" s="5">
        <f>(C5+C6+C7+C8)*100</f>
        <v>28.000000000000004</v>
      </c>
      <c r="G9" s="2">
        <f>G8*G4*H22/H25</f>
        <v>8788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9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9" x14ac:dyDescent="0.3">
      <c r="A11" s="7">
        <v>11</v>
      </c>
      <c r="B11" s="2" t="s">
        <v>7</v>
      </c>
      <c r="C11" s="3">
        <f>IF(C4*C10&lt;G5,G5,IF(C4*C10&gt;G7,G7,C4*C10))</f>
        <v>40467.9012345679</v>
      </c>
      <c r="G11" s="9">
        <v>0.1</v>
      </c>
      <c r="H11" s="7" t="s">
        <v>26</v>
      </c>
    </row>
    <row r="12" spans="1:9" x14ac:dyDescent="0.3">
      <c r="A12" s="6">
        <v>12</v>
      </c>
      <c r="B12" s="2" t="s">
        <v>8</v>
      </c>
      <c r="C12" s="2">
        <f>C5*C$11</f>
        <v>7607.9654320987656</v>
      </c>
    </row>
    <row r="13" spans="1:9" x14ac:dyDescent="0.3">
      <c r="A13" s="7">
        <v>13</v>
      </c>
      <c r="B13" s="2" t="s">
        <v>9</v>
      </c>
      <c r="C13" s="2">
        <f>C6*C$11</f>
        <v>3035.0925925925926</v>
      </c>
      <c r="G13" s="12">
        <f>G10/(1-G10)</f>
        <v>0.11111111111111112</v>
      </c>
      <c r="H13" s="7" t="s">
        <v>32</v>
      </c>
    </row>
    <row r="14" spans="1:9" x14ac:dyDescent="0.3">
      <c r="A14" s="6">
        <v>14</v>
      </c>
      <c r="B14" s="2" t="s">
        <v>10</v>
      </c>
      <c r="C14" s="2">
        <f>C7*C$11</f>
        <v>202.33950617283949</v>
      </c>
      <c r="G14" s="12">
        <f>G11/(1-G11)</f>
        <v>0.11111111111111112</v>
      </c>
      <c r="H14" s="7" t="s">
        <v>33</v>
      </c>
    </row>
    <row r="15" spans="1:9" x14ac:dyDescent="0.3">
      <c r="A15" s="7">
        <v>15</v>
      </c>
      <c r="B15" s="2" t="s">
        <v>11</v>
      </c>
      <c r="C15" s="2">
        <f>C8*C$11</f>
        <v>485.61481481481479</v>
      </c>
    </row>
    <row r="16" spans="1:9" x14ac:dyDescent="0.3">
      <c r="A16" s="6">
        <v>16</v>
      </c>
      <c r="B16" s="2" t="s">
        <v>20</v>
      </c>
      <c r="C16" s="2">
        <f>C1+C3+C12+C13+C14+C15</f>
        <v>40467.9012345679</v>
      </c>
      <c r="G16" s="39" t="s">
        <v>45</v>
      </c>
      <c r="H16" s="40">
        <v>44562</v>
      </c>
      <c r="I16" s="31" t="s">
        <v>48</v>
      </c>
    </row>
    <row r="17" spans="1:10" x14ac:dyDescent="0.3">
      <c r="A17" s="6"/>
      <c r="G17" s="36"/>
      <c r="H17" s="40">
        <v>44592</v>
      </c>
    </row>
    <row r="18" spans="1:10" x14ac:dyDescent="0.3">
      <c r="A18" s="6"/>
      <c r="B18" s="7" t="s">
        <v>17</v>
      </c>
      <c r="C18" s="2">
        <f>C16-C1</f>
        <v>13365.9012345679</v>
      </c>
      <c r="G18" s="38" t="s">
        <v>52</v>
      </c>
      <c r="H18" s="11">
        <f>MONTH(H16)</f>
        <v>1</v>
      </c>
    </row>
    <row r="19" spans="1:10" x14ac:dyDescent="0.3">
      <c r="A19" s="6"/>
      <c r="B19" s="7" t="s">
        <v>18</v>
      </c>
      <c r="C19" s="13">
        <f>C18/C16</f>
        <v>0.33028402330760548</v>
      </c>
      <c r="G19" s="11"/>
      <c r="H19" s="11"/>
    </row>
    <row r="20" spans="1:10" x14ac:dyDescent="0.3">
      <c r="A20" s="6"/>
      <c r="B20" s="7" t="s">
        <v>19</v>
      </c>
      <c r="C20" s="13">
        <f>C19*100/(100-C19*100)</f>
        <v>0.49317029129097117</v>
      </c>
      <c r="G20" s="38" t="s">
        <v>50</v>
      </c>
      <c r="H20" s="11"/>
    </row>
    <row r="21" spans="1:10" x14ac:dyDescent="0.3">
      <c r="C21" s="14"/>
      <c r="G21" s="11" t="s">
        <v>46</v>
      </c>
      <c r="H21" s="11">
        <f>NETWORKDAYS(H16,H17)</f>
        <v>21</v>
      </c>
    </row>
    <row r="22" spans="1:10" x14ac:dyDescent="0.3">
      <c r="C22" s="14"/>
      <c r="G22" s="11" t="s">
        <v>47</v>
      </c>
      <c r="H22" s="11">
        <f>H21*8*G4</f>
        <v>168</v>
      </c>
    </row>
    <row r="23" spans="1:10" x14ac:dyDescent="0.3">
      <c r="C23" s="14"/>
      <c r="G23" s="37" t="s">
        <v>51</v>
      </c>
      <c r="H23" s="32"/>
    </row>
    <row r="24" spans="1:10" x14ac:dyDescent="0.3">
      <c r="G24" s="32" t="s">
        <v>46</v>
      </c>
      <c r="H24" s="32">
        <f>H25/8</f>
        <v>21</v>
      </c>
    </row>
    <row r="25" spans="1:10" x14ac:dyDescent="0.3">
      <c r="G25" s="32" t="s">
        <v>47</v>
      </c>
      <c r="H25" s="32">
        <f>VLOOKUP(H18,G33:H44,2,FALSE)*G4</f>
        <v>168</v>
      </c>
    </row>
    <row r="27" spans="1:10" x14ac:dyDescent="0.3">
      <c r="G27" s="44" t="s">
        <v>55</v>
      </c>
      <c r="H27" s="45"/>
      <c r="I27" s="124">
        <v>27102</v>
      </c>
      <c r="J27" s="125"/>
    </row>
    <row r="28" spans="1:10" x14ac:dyDescent="0.3">
      <c r="G28" s="41" t="s">
        <v>54</v>
      </c>
      <c r="H28" s="43"/>
      <c r="I28" s="124"/>
      <c r="J28" s="125"/>
    </row>
    <row r="30" spans="1:10" x14ac:dyDescent="0.3">
      <c r="G30" s="46" t="s">
        <v>49</v>
      </c>
      <c r="H30" s="47"/>
      <c r="I30" s="126">
        <f>I27+I28</f>
        <v>27102</v>
      </c>
      <c r="J30" s="127"/>
    </row>
    <row r="31" spans="1:10" x14ac:dyDescent="0.3">
      <c r="G31" s="35"/>
      <c r="H31" s="33"/>
    </row>
    <row r="32" spans="1:10" x14ac:dyDescent="0.3">
      <c r="G32" s="46" t="s">
        <v>56</v>
      </c>
      <c r="H32" s="50"/>
      <c r="I32" s="50"/>
      <c r="J32" s="47"/>
    </row>
    <row r="33" spans="7:10" x14ac:dyDescent="0.3">
      <c r="G33" s="53">
        <v>1</v>
      </c>
      <c r="H33" s="54">
        <v>168</v>
      </c>
      <c r="I33" s="49"/>
      <c r="J33" s="45"/>
    </row>
    <row r="34" spans="7:10" x14ac:dyDescent="0.3">
      <c r="G34" s="53">
        <v>2</v>
      </c>
      <c r="H34" s="54">
        <v>160</v>
      </c>
      <c r="I34" s="49"/>
      <c r="J34" s="45"/>
    </row>
    <row r="35" spans="7:10" x14ac:dyDescent="0.3">
      <c r="G35" s="53">
        <v>3</v>
      </c>
      <c r="H35" s="54">
        <v>184</v>
      </c>
      <c r="I35" s="49"/>
      <c r="J35" s="45"/>
    </row>
    <row r="36" spans="7:10" x14ac:dyDescent="0.3">
      <c r="G36" s="53">
        <v>4</v>
      </c>
      <c r="H36" s="54">
        <v>168</v>
      </c>
      <c r="I36" s="49"/>
      <c r="J36" s="45"/>
    </row>
    <row r="37" spans="7:10" x14ac:dyDescent="0.3">
      <c r="G37" s="53">
        <v>5</v>
      </c>
      <c r="H37" s="54">
        <v>176</v>
      </c>
      <c r="I37" s="49"/>
      <c r="J37" s="45"/>
    </row>
    <row r="38" spans="7:10" x14ac:dyDescent="0.3">
      <c r="G38" s="53">
        <v>6</v>
      </c>
      <c r="H38" s="54">
        <v>176</v>
      </c>
      <c r="I38" s="49"/>
      <c r="J38" s="45"/>
    </row>
    <row r="39" spans="7:10" x14ac:dyDescent="0.3">
      <c r="G39" s="53">
        <v>7</v>
      </c>
      <c r="H39" s="54">
        <v>168</v>
      </c>
      <c r="I39" s="49"/>
      <c r="J39" s="45"/>
    </row>
    <row r="40" spans="7:10" x14ac:dyDescent="0.3">
      <c r="G40" s="53">
        <v>8</v>
      </c>
      <c r="H40" s="54">
        <v>184</v>
      </c>
      <c r="I40" s="49"/>
      <c r="J40" s="45"/>
    </row>
    <row r="41" spans="7:10" x14ac:dyDescent="0.3">
      <c r="G41" s="53">
        <v>9</v>
      </c>
      <c r="H41" s="54">
        <v>176</v>
      </c>
      <c r="I41" s="49"/>
      <c r="J41" s="45"/>
    </row>
    <row r="42" spans="7:10" x14ac:dyDescent="0.3">
      <c r="G42" s="55">
        <v>10</v>
      </c>
      <c r="H42" s="56">
        <v>168</v>
      </c>
      <c r="I42" s="49"/>
      <c r="J42" s="45"/>
    </row>
    <row r="43" spans="7:10" x14ac:dyDescent="0.3">
      <c r="G43" s="55">
        <v>11</v>
      </c>
      <c r="H43" s="56">
        <v>176</v>
      </c>
      <c r="I43" s="49"/>
      <c r="J43" s="45"/>
    </row>
    <row r="44" spans="7:10" x14ac:dyDescent="0.3">
      <c r="G44" s="51">
        <v>12</v>
      </c>
      <c r="H44" s="52">
        <v>176</v>
      </c>
      <c r="I44" s="42"/>
      <c r="J44" s="43"/>
    </row>
    <row r="45" spans="7:10" x14ac:dyDescent="0.3">
      <c r="G45" s="48"/>
      <c r="H45" s="48"/>
    </row>
  </sheetData>
  <sheetProtection algorithmName="SHA-512" hashValue="tG4ntPnBsoIhDTe1Q42dQ4yOOUu7SlJSbdSObvy65UQaWpT2vi1fPWxSXOmscBTgqBqDQOlkE91xq8EoKNAXiQ==" saltValue="ME0JUBqzSg9H2aRb7Wpnlg==" spinCount="100000" sheet="1" objects="1" scenarios="1"/>
  <mergeCells count="3">
    <mergeCell ref="I27:J27"/>
    <mergeCell ref="I30:J30"/>
    <mergeCell ref="I28:J28"/>
  </mergeCells>
  <conditionalFormatting sqref="H21:H22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24" zoomScaleNormal="130" workbookViewId="0">
      <selection activeCell="I28" sqref="I28:J28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22146</v>
      </c>
      <c r="G1" s="19">
        <v>43509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23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4">
        <f>G1*G2</f>
        <v>21754.5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23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4">
        <f>G3*G4</f>
        <v>21754.5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4163.4480000000003</v>
      </c>
      <c r="G6" s="25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1660.95</v>
      </c>
      <c r="G7" s="24">
        <f>G6*G1</f>
        <v>696144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110.73</v>
      </c>
      <c r="G8" s="26">
        <v>8788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265.75200000000001</v>
      </c>
      <c r="G9" s="24">
        <f>G8*G4</f>
        <v>8788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15945.119999999999</v>
      </c>
      <c r="G10" s="2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7157.119999999999</v>
      </c>
      <c r="G11" s="2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715.71199999999999</v>
      </c>
    </row>
    <row r="13" spans="1:8" x14ac:dyDescent="0.3">
      <c r="A13" s="7">
        <v>13</v>
      </c>
      <c r="B13" s="2" t="s">
        <v>0</v>
      </c>
      <c r="C13" s="2">
        <f>IF(C1-C16&gt;0,C1-C16,1)</f>
        <v>15229.407999999999</v>
      </c>
      <c r="G13" s="29">
        <f>G10/(1-G10)</f>
        <v>0.11111111111111112</v>
      </c>
      <c r="H13" s="7" t="s">
        <v>32</v>
      </c>
    </row>
    <row r="14" spans="1:8" x14ac:dyDescent="0.3">
      <c r="A14" s="6"/>
      <c r="G14" s="29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6916.5920000000006</v>
      </c>
    </row>
    <row r="17" spans="1:3" x14ac:dyDescent="0.3">
      <c r="A17" s="6"/>
      <c r="B17" s="7" t="s">
        <v>18</v>
      </c>
      <c r="C17" s="13">
        <f>C16/C1</f>
        <v>0.31231789036394836</v>
      </c>
    </row>
    <row r="18" spans="1:3" x14ac:dyDescent="0.3">
      <c r="A18" s="6"/>
      <c r="B18" s="7" t="s">
        <v>19</v>
      </c>
      <c r="C18" s="13">
        <f>C17*100/(100-C17*100)</f>
        <v>0.45416026676808458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2HvuyvZ4OVCV2OajgQxNnsbMeNP855Nkysci+UhUQAwjH9OgwvuVeH1aUkTkY3RCaLjPKN7yyrkZTSgUwxZGbA==" saltValue="tAMr6AtiUzKx+Dqfo1VO9Q==" spinCount="100000"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B1" zoomScale="130" zoomScaleNormal="130" workbookViewId="0">
      <selection activeCell="C3" sqref="C3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6.109375" style="7" customWidth="1"/>
    <col min="8" max="8" width="18.77734375" style="7" customWidth="1"/>
    <col min="9" max="16384" width="8.88671875" style="7"/>
  </cols>
  <sheetData>
    <row r="1" spans="1:9" x14ac:dyDescent="0.3">
      <c r="A1" s="6">
        <v>1</v>
      </c>
      <c r="B1" s="7" t="s">
        <v>0</v>
      </c>
      <c r="C1" s="8">
        <f>ROUND(I27*(H22/H25),0)+I28</f>
        <v>62000</v>
      </c>
      <c r="G1" s="19">
        <v>49397</v>
      </c>
      <c r="H1" s="18" t="s">
        <v>34</v>
      </c>
    </row>
    <row r="2" spans="1:9" x14ac:dyDescent="0.3">
      <c r="A2" s="7">
        <v>2</v>
      </c>
      <c r="B2" s="7" t="s">
        <v>27</v>
      </c>
      <c r="C2" s="2">
        <f>IF(C1-G9&gt;0,C1-G9,0)</f>
        <v>52962</v>
      </c>
      <c r="G2" s="9">
        <v>0.5</v>
      </c>
    </row>
    <row r="3" spans="1:9" x14ac:dyDescent="0.3">
      <c r="A3" s="7">
        <v>3</v>
      </c>
      <c r="B3" s="2" t="s">
        <v>30</v>
      </c>
      <c r="C3" s="2">
        <f>IF(C2&lt;81000,C2*G13,(C2-81000)*G14+81000*G13)</f>
        <v>5884.666666666667</v>
      </c>
      <c r="G3" s="2">
        <f>G1*G2</f>
        <v>24698.5</v>
      </c>
      <c r="H3" s="7" t="s">
        <v>13</v>
      </c>
    </row>
    <row r="4" spans="1:9" x14ac:dyDescent="0.3">
      <c r="A4" s="6">
        <v>4</v>
      </c>
      <c r="B4" s="2" t="s">
        <v>39</v>
      </c>
      <c r="C4" s="3">
        <f>C1+C3</f>
        <v>67884.666666666672</v>
      </c>
      <c r="G4" s="23">
        <v>1</v>
      </c>
      <c r="H4" s="7" t="s">
        <v>12</v>
      </c>
    </row>
    <row r="5" spans="1:9" x14ac:dyDescent="0.3">
      <c r="A5" s="7">
        <v>5</v>
      </c>
      <c r="B5" s="2" t="s">
        <v>1</v>
      </c>
      <c r="C5" s="10">
        <v>0.188</v>
      </c>
      <c r="G5" s="2">
        <f>G3*G4</f>
        <v>24698.5</v>
      </c>
      <c r="H5" s="7" t="s">
        <v>14</v>
      </c>
    </row>
    <row r="6" spans="1:9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9" x14ac:dyDescent="0.3">
      <c r="A7" s="7">
        <v>7</v>
      </c>
      <c r="B7" s="2" t="s">
        <v>3</v>
      </c>
      <c r="C7" s="10">
        <v>5.0000000000000001E-3</v>
      </c>
      <c r="G7" s="2">
        <f>G6*G1</f>
        <v>790352</v>
      </c>
      <c r="H7" s="7" t="s">
        <v>16</v>
      </c>
    </row>
    <row r="8" spans="1:9" x14ac:dyDescent="0.3">
      <c r="A8" s="6">
        <v>8</v>
      </c>
      <c r="B8" s="2" t="s">
        <v>4</v>
      </c>
      <c r="C8" s="10">
        <v>1.2E-2</v>
      </c>
      <c r="G8" s="20">
        <v>9038</v>
      </c>
      <c r="H8" s="30" t="s">
        <v>44</v>
      </c>
    </row>
    <row r="9" spans="1:9" x14ac:dyDescent="0.3">
      <c r="A9" s="7">
        <v>9</v>
      </c>
      <c r="B9" s="2" t="s">
        <v>5</v>
      </c>
      <c r="C9" s="5">
        <f>(C5+C6+C7+C8)*100</f>
        <v>28.000000000000004</v>
      </c>
      <c r="G9" s="2">
        <f>G8*G4*H22/H25</f>
        <v>9038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9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9" x14ac:dyDescent="0.3">
      <c r="A11" s="7">
        <v>11</v>
      </c>
      <c r="B11" s="2" t="s">
        <v>7</v>
      </c>
      <c r="C11" s="3">
        <f>IF(C4*C10&lt;G5,G5,IF(C4*C10&gt;G7,G7,C4*C10))</f>
        <v>94284.259259259255</v>
      </c>
      <c r="G11" s="9">
        <v>0.1</v>
      </c>
      <c r="H11" s="7" t="s">
        <v>26</v>
      </c>
    </row>
    <row r="12" spans="1:9" x14ac:dyDescent="0.3">
      <c r="A12" s="6">
        <v>12</v>
      </c>
      <c r="B12" s="2" t="s">
        <v>8</v>
      </c>
      <c r="C12" s="2">
        <f>C5*C$11</f>
        <v>17725.440740740742</v>
      </c>
    </row>
    <row r="13" spans="1:9" x14ac:dyDescent="0.3">
      <c r="A13" s="7">
        <v>13</v>
      </c>
      <c r="B13" s="2" t="s">
        <v>9</v>
      </c>
      <c r="C13" s="2">
        <f>C6*C$11</f>
        <v>7071.3194444444443</v>
      </c>
      <c r="G13" s="12">
        <f>G10/(1-G10)</f>
        <v>0.11111111111111112</v>
      </c>
      <c r="H13" s="7" t="s">
        <v>32</v>
      </c>
    </row>
    <row r="14" spans="1:9" x14ac:dyDescent="0.3">
      <c r="A14" s="6">
        <v>14</v>
      </c>
      <c r="B14" s="2" t="s">
        <v>10</v>
      </c>
      <c r="C14" s="2">
        <f>C7*C$11</f>
        <v>471.4212962962963</v>
      </c>
      <c r="G14" s="12">
        <f>G11/(1-G11)</f>
        <v>0.11111111111111112</v>
      </c>
      <c r="H14" s="7" t="s">
        <v>33</v>
      </c>
    </row>
    <row r="15" spans="1:9" x14ac:dyDescent="0.3">
      <c r="A15" s="7">
        <v>15</v>
      </c>
      <c r="B15" s="2" t="s">
        <v>11</v>
      </c>
      <c r="C15" s="2">
        <f>C8*C$11</f>
        <v>1131.411111111111</v>
      </c>
    </row>
    <row r="16" spans="1:9" x14ac:dyDescent="0.3">
      <c r="A16" s="6">
        <v>16</v>
      </c>
      <c r="B16" s="2" t="s">
        <v>20</v>
      </c>
      <c r="C16" s="2">
        <f>C1+C3+C12+C13+C14+C15</f>
        <v>94284.259259259255</v>
      </c>
      <c r="G16" s="39" t="s">
        <v>45</v>
      </c>
      <c r="H16" s="40">
        <v>44927</v>
      </c>
      <c r="I16" s="31" t="s">
        <v>48</v>
      </c>
    </row>
    <row r="17" spans="1:10" x14ac:dyDescent="0.3">
      <c r="A17" s="6"/>
      <c r="G17" s="36"/>
      <c r="H17" s="40">
        <v>44957</v>
      </c>
    </row>
    <row r="18" spans="1:10" x14ac:dyDescent="0.3">
      <c r="A18" s="6"/>
      <c r="B18" s="7" t="s">
        <v>17</v>
      </c>
      <c r="C18" s="2">
        <f>C16-C1</f>
        <v>32284.259259259255</v>
      </c>
      <c r="G18" s="38" t="s">
        <v>52</v>
      </c>
      <c r="H18" s="11">
        <f>MONTH(H16)</f>
        <v>1</v>
      </c>
    </row>
    <row r="19" spans="1:10" x14ac:dyDescent="0.3">
      <c r="A19" s="6"/>
      <c r="B19" s="7" t="s">
        <v>18</v>
      </c>
      <c r="C19" s="13">
        <f>C18/C16</f>
        <v>0.34241409449360188</v>
      </c>
      <c r="G19" s="11"/>
      <c r="H19" s="11"/>
    </row>
    <row r="20" spans="1:10" x14ac:dyDescent="0.3">
      <c r="A20" s="6"/>
      <c r="B20" s="7" t="s">
        <v>19</v>
      </c>
      <c r="C20" s="13">
        <f>C19*100/(100-C19*100)</f>
        <v>0.52071385902031064</v>
      </c>
      <c r="G20" s="38" t="s">
        <v>50</v>
      </c>
      <c r="H20" s="11"/>
    </row>
    <row r="21" spans="1:10" x14ac:dyDescent="0.3">
      <c r="C21" s="14"/>
      <c r="G21" s="11" t="s">
        <v>46</v>
      </c>
      <c r="H21" s="11">
        <f>NETWORKDAYS(H16,H17)</f>
        <v>22</v>
      </c>
    </row>
    <row r="22" spans="1:10" x14ac:dyDescent="0.3">
      <c r="C22" s="14"/>
      <c r="G22" s="11" t="s">
        <v>47</v>
      </c>
      <c r="H22" s="11">
        <f>H21*8*G4</f>
        <v>176</v>
      </c>
    </row>
    <row r="23" spans="1:10" x14ac:dyDescent="0.3">
      <c r="C23" s="14"/>
      <c r="G23" s="37" t="s">
        <v>51</v>
      </c>
      <c r="H23" s="32"/>
    </row>
    <row r="24" spans="1:10" x14ac:dyDescent="0.3">
      <c r="G24" s="32" t="s">
        <v>46</v>
      </c>
      <c r="H24" s="32">
        <f>H25/8</f>
        <v>22</v>
      </c>
    </row>
    <row r="25" spans="1:10" x14ac:dyDescent="0.3">
      <c r="G25" s="32" t="s">
        <v>47</v>
      </c>
      <c r="H25" s="32">
        <f>VLOOKUP(H18,G33:H44,2,FALSE)*G4</f>
        <v>176</v>
      </c>
    </row>
    <row r="27" spans="1:10" x14ac:dyDescent="0.3">
      <c r="G27" s="44" t="s">
        <v>55</v>
      </c>
      <c r="H27" s="45"/>
      <c r="I27" s="124">
        <v>50000</v>
      </c>
      <c r="J27" s="125"/>
    </row>
    <row r="28" spans="1:10" x14ac:dyDescent="0.3">
      <c r="G28" s="41" t="s">
        <v>54</v>
      </c>
      <c r="H28" s="43"/>
      <c r="I28" s="124">
        <v>12000</v>
      </c>
      <c r="J28" s="125"/>
    </row>
    <row r="30" spans="1:10" x14ac:dyDescent="0.3">
      <c r="G30" s="46" t="s">
        <v>49</v>
      </c>
      <c r="H30" s="47"/>
      <c r="I30" s="126">
        <f>I27+I28</f>
        <v>62000</v>
      </c>
      <c r="J30" s="127"/>
    </row>
    <row r="31" spans="1:10" x14ac:dyDescent="0.3">
      <c r="G31" s="35"/>
      <c r="H31" s="33"/>
    </row>
    <row r="32" spans="1:10" x14ac:dyDescent="0.3">
      <c r="G32" s="46" t="s">
        <v>57</v>
      </c>
      <c r="H32" s="50"/>
      <c r="I32" s="50"/>
      <c r="J32" s="47"/>
    </row>
    <row r="33" spans="7:10" x14ac:dyDescent="0.3">
      <c r="G33" s="53">
        <v>1</v>
      </c>
      <c r="H33" s="54">
        <v>176</v>
      </c>
      <c r="I33" s="49"/>
      <c r="J33" s="45"/>
    </row>
    <row r="34" spans="7:10" x14ac:dyDescent="0.3">
      <c r="G34" s="53">
        <v>2</v>
      </c>
      <c r="H34" s="54">
        <v>160</v>
      </c>
      <c r="I34" s="49"/>
      <c r="J34" s="45"/>
    </row>
    <row r="35" spans="7:10" x14ac:dyDescent="0.3">
      <c r="G35" s="53">
        <v>3</v>
      </c>
      <c r="H35" s="54">
        <v>184</v>
      </c>
      <c r="I35" s="49"/>
      <c r="J35" s="45"/>
    </row>
    <row r="36" spans="7:10" x14ac:dyDescent="0.3">
      <c r="G36" s="53">
        <v>4</v>
      </c>
      <c r="H36" s="54">
        <v>160</v>
      </c>
      <c r="I36" s="49"/>
      <c r="J36" s="45"/>
    </row>
    <row r="37" spans="7:10" x14ac:dyDescent="0.3">
      <c r="G37" s="53">
        <v>5</v>
      </c>
      <c r="H37" s="54">
        <v>184</v>
      </c>
      <c r="I37" s="49"/>
      <c r="J37" s="45"/>
    </row>
    <row r="38" spans="7:10" x14ac:dyDescent="0.3">
      <c r="G38" s="53">
        <v>6</v>
      </c>
      <c r="H38" s="54">
        <v>176</v>
      </c>
      <c r="I38" s="49"/>
      <c r="J38" s="45"/>
    </row>
    <row r="39" spans="7:10" x14ac:dyDescent="0.3">
      <c r="G39" s="53">
        <v>7</v>
      </c>
      <c r="H39" s="54">
        <v>168</v>
      </c>
      <c r="I39" s="49"/>
      <c r="J39" s="45"/>
    </row>
    <row r="40" spans="7:10" x14ac:dyDescent="0.3">
      <c r="G40" s="53">
        <v>8</v>
      </c>
      <c r="H40" s="54">
        <v>184</v>
      </c>
      <c r="I40" s="49"/>
      <c r="J40" s="45"/>
    </row>
    <row r="41" spans="7:10" x14ac:dyDescent="0.3">
      <c r="G41" s="53">
        <v>9</v>
      </c>
      <c r="H41" s="54">
        <v>168</v>
      </c>
      <c r="I41" s="49"/>
      <c r="J41" s="45"/>
    </row>
    <row r="42" spans="7:10" x14ac:dyDescent="0.3">
      <c r="G42" s="55">
        <v>10</v>
      </c>
      <c r="H42" s="56">
        <v>176</v>
      </c>
      <c r="I42" s="49"/>
      <c r="J42" s="45"/>
    </row>
    <row r="43" spans="7:10" x14ac:dyDescent="0.3">
      <c r="G43" s="55">
        <v>11</v>
      </c>
      <c r="H43" s="56">
        <v>176</v>
      </c>
      <c r="I43" s="49"/>
      <c r="J43" s="45"/>
    </row>
    <row r="44" spans="7:10" x14ac:dyDescent="0.3">
      <c r="G44" s="51">
        <v>12</v>
      </c>
      <c r="H44" s="52">
        <v>168</v>
      </c>
      <c r="I44" s="42"/>
      <c r="J44" s="43"/>
    </row>
    <row r="45" spans="7:10" x14ac:dyDescent="0.3">
      <c r="G45" s="48"/>
      <c r="H45" s="48"/>
    </row>
  </sheetData>
  <sheetProtection password="CF5F" sheet="1" objects="1" scenarios="1"/>
  <mergeCells count="3">
    <mergeCell ref="I27:J27"/>
    <mergeCell ref="I28:J28"/>
    <mergeCell ref="I30:J30"/>
  </mergeCells>
  <conditionalFormatting sqref="H21:H22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Нето-во-бруто-2018</vt:lpstr>
      <vt:lpstr>Нето-во-бруто-2019</vt:lpstr>
      <vt:lpstr>Нето-во-бруто-2020</vt:lpstr>
      <vt:lpstr>Бруто-во-нето-2020</vt:lpstr>
      <vt:lpstr>Нето-во-бруто-2021</vt:lpstr>
      <vt:lpstr>Бруто-во-нето-2021</vt:lpstr>
      <vt:lpstr>Нето-во-бруто-2022</vt:lpstr>
      <vt:lpstr>Бруто-во-нето-2022</vt:lpstr>
      <vt:lpstr>Нето-во-бруто-2023</vt:lpstr>
      <vt:lpstr>Бруто-во-нето-2023</vt:lpstr>
      <vt:lpstr>Нето-во-бруто-2024</vt:lpstr>
      <vt:lpstr>Бруто-во-нето-2024</vt:lpstr>
      <vt:lpstr>Бруто-во-нето-2025</vt:lpstr>
      <vt:lpstr>Нето-во-бруто-2025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2025-04-15T17:28:04Z</dcterms:modified>
</cp:coreProperties>
</file>